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ester.lisek\Documents\Dokumenty służbowe\064 Strony internet\2024\"/>
    </mc:Choice>
  </mc:AlternateContent>
  <xr:revisionPtr revIDLastSave="0" documentId="8_{011C4B80-1BF0-4A9E-9180-7D53D229DC90}" xr6:coauthVersionLast="47" xr6:coauthVersionMax="47" xr10:uidLastSave="{00000000-0000-0000-0000-000000000000}"/>
  <bookViews>
    <workbookView xWindow="2472" yWindow="876" windowWidth="19296" windowHeight="10500"/>
  </bookViews>
  <sheets>
    <sheet name="Arkusz17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19" l="1"/>
  <c r="N65" i="19"/>
  <c r="L66" i="19"/>
  <c r="N66" i="19"/>
  <c r="L67" i="19"/>
  <c r="N67" i="19"/>
  <c r="L68" i="19"/>
  <c r="N68" i="19"/>
  <c r="L69" i="19"/>
  <c r="N69" i="19"/>
  <c r="N70" i="19"/>
  <c r="L71" i="19"/>
  <c r="N71" i="19"/>
  <c r="L72" i="19"/>
  <c r="N72" i="19"/>
  <c r="L73" i="19"/>
  <c r="N73" i="19"/>
  <c r="L74" i="19"/>
  <c r="N74" i="19"/>
  <c r="L75" i="19"/>
  <c r="N75" i="19"/>
  <c r="L76" i="19"/>
  <c r="N76" i="19"/>
  <c r="L77" i="19"/>
  <c r="N77" i="19"/>
  <c r="L78" i="19"/>
  <c r="N78" i="19"/>
  <c r="L79" i="19"/>
  <c r="N79" i="19"/>
  <c r="L80" i="19"/>
  <c r="N80" i="19"/>
  <c r="N81" i="19"/>
  <c r="L82" i="19"/>
  <c r="N82" i="19"/>
  <c r="L83" i="19"/>
  <c r="N83" i="19"/>
  <c r="L84" i="19"/>
  <c r="N84" i="19"/>
  <c r="L85" i="19"/>
  <c r="N85" i="19"/>
  <c r="L86" i="19"/>
  <c r="N86" i="19"/>
  <c r="L87" i="19"/>
  <c r="N87" i="19"/>
  <c r="L88" i="19"/>
  <c r="N88" i="19"/>
  <c r="L89" i="19"/>
  <c r="N89" i="19"/>
  <c r="L90" i="19"/>
  <c r="N90" i="19"/>
  <c r="L91" i="19"/>
  <c r="N91" i="19"/>
  <c r="N92" i="19"/>
  <c r="L93" i="19"/>
  <c r="N93" i="19"/>
  <c r="L94" i="19"/>
  <c r="N94" i="19"/>
  <c r="L95" i="19"/>
  <c r="N95" i="19"/>
  <c r="L96" i="19"/>
  <c r="N96" i="19"/>
  <c r="L97" i="19"/>
  <c r="N97" i="19"/>
  <c r="L98" i="19"/>
  <c r="N98" i="19"/>
  <c r="L99" i="19"/>
  <c r="N99" i="19"/>
  <c r="L100" i="19"/>
  <c r="N100" i="19"/>
  <c r="L101" i="19"/>
  <c r="N101" i="19"/>
  <c r="L102" i="19"/>
  <c r="N102" i="19"/>
  <c r="N103" i="19"/>
  <c r="L104" i="19"/>
  <c r="N104" i="19"/>
  <c r="L105" i="19"/>
  <c r="N105" i="19"/>
  <c r="L106" i="19"/>
  <c r="N106" i="19"/>
  <c r="L107" i="19"/>
  <c r="N107" i="19"/>
  <c r="F16" i="19"/>
  <c r="L279" i="19"/>
  <c r="N279" i="19"/>
  <c r="L278" i="19"/>
  <c r="N278" i="19"/>
  <c r="L277" i="19"/>
  <c r="N277" i="19"/>
  <c r="L276" i="19"/>
  <c r="N276" i="19"/>
  <c r="L275" i="19"/>
  <c r="N275" i="19"/>
  <c r="L273" i="19"/>
  <c r="N273" i="19"/>
  <c r="L272" i="19"/>
  <c r="N272" i="19"/>
  <c r="L270" i="19"/>
  <c r="N270" i="19"/>
  <c r="L269" i="19"/>
  <c r="N269" i="19"/>
  <c r="L268" i="19"/>
  <c r="N268" i="19"/>
  <c r="L267" i="19"/>
  <c r="N267" i="19"/>
  <c r="L266" i="19"/>
  <c r="N266" i="19"/>
  <c r="L265" i="19"/>
  <c r="N265" i="19"/>
  <c r="L264" i="19"/>
  <c r="L262" i="19"/>
  <c r="N262" i="19"/>
  <c r="L261" i="19"/>
  <c r="N261" i="19"/>
  <c r="L259" i="19"/>
  <c r="N259" i="19"/>
  <c r="L258" i="19"/>
  <c r="N258" i="19"/>
  <c r="L257" i="19"/>
  <c r="N257" i="19"/>
  <c r="L256" i="19"/>
  <c r="N256" i="19"/>
  <c r="L255" i="19"/>
  <c r="N255" i="19"/>
  <c r="L254" i="19"/>
  <c r="N254" i="19"/>
  <c r="L253" i="19"/>
  <c r="N253" i="19"/>
  <c r="L251" i="19"/>
  <c r="L250" i="19"/>
  <c r="N250" i="19"/>
  <c r="L248" i="19"/>
  <c r="N248" i="19"/>
  <c r="L247" i="19"/>
  <c r="N247" i="19"/>
  <c r="L246" i="19"/>
  <c r="N246" i="19"/>
  <c r="L245" i="19"/>
  <c r="N245" i="19"/>
  <c r="L244" i="19"/>
  <c r="N244" i="19"/>
  <c r="L243" i="19"/>
  <c r="N243" i="19"/>
  <c r="L242" i="19"/>
  <c r="N242" i="19"/>
  <c r="L240" i="19"/>
  <c r="N240" i="19"/>
  <c r="L239" i="19"/>
  <c r="N239" i="19"/>
  <c r="L237" i="19"/>
  <c r="N237" i="19"/>
  <c r="L236" i="19"/>
  <c r="L222" i="19"/>
  <c r="L221" i="19"/>
  <c r="N221" i="19"/>
  <c r="L220" i="19"/>
  <c r="N220" i="19"/>
  <c r="L219" i="19"/>
  <c r="N219" i="19"/>
  <c r="L218" i="19"/>
  <c r="N218" i="19"/>
  <c r="L216" i="19"/>
  <c r="L215" i="19"/>
  <c r="N215" i="19"/>
  <c r="L214" i="19"/>
  <c r="N214" i="19"/>
  <c r="L213" i="19"/>
  <c r="N213" i="19"/>
  <c r="L212" i="19"/>
  <c r="N212" i="19"/>
  <c r="L211" i="19"/>
  <c r="N211" i="19"/>
  <c r="L210" i="19"/>
  <c r="N210" i="19"/>
  <c r="L209" i="19"/>
  <c r="N209" i="19"/>
  <c r="L208" i="19"/>
  <c r="N208" i="19"/>
  <c r="L207" i="19"/>
  <c r="N207" i="19"/>
  <c r="L205" i="19"/>
  <c r="N205" i="19"/>
  <c r="L204" i="19"/>
  <c r="N204" i="19"/>
  <c r="L203" i="19"/>
  <c r="N203" i="19"/>
  <c r="L202" i="19"/>
  <c r="N202" i="19"/>
  <c r="L201" i="19"/>
  <c r="N201" i="19"/>
  <c r="L200" i="19"/>
  <c r="N200" i="19"/>
  <c r="L199" i="19"/>
  <c r="N199" i="19"/>
  <c r="L198" i="19"/>
  <c r="N198" i="19"/>
  <c r="L197" i="19"/>
  <c r="N197" i="19"/>
  <c r="L196" i="19"/>
  <c r="N196" i="19"/>
  <c r="L194" i="19"/>
  <c r="N194" i="19"/>
  <c r="L193" i="19"/>
  <c r="N193" i="19"/>
  <c r="L192" i="19"/>
  <c r="N192" i="19"/>
  <c r="L191" i="19"/>
  <c r="N191" i="19"/>
  <c r="L190" i="19"/>
  <c r="N190" i="19"/>
  <c r="L189" i="19"/>
  <c r="L188" i="19"/>
  <c r="N188" i="19"/>
  <c r="L187" i="19"/>
  <c r="N187" i="19"/>
  <c r="L186" i="19"/>
  <c r="N186" i="19"/>
  <c r="L185" i="19"/>
  <c r="N185" i="19"/>
  <c r="L183" i="19"/>
  <c r="N183" i="19"/>
  <c r="L182" i="19"/>
  <c r="N182" i="19"/>
  <c r="L181" i="19"/>
  <c r="N181" i="19"/>
  <c r="L180" i="19"/>
  <c r="N180" i="19"/>
  <c r="L179" i="19"/>
  <c r="N179" i="19"/>
  <c r="L165" i="19"/>
  <c r="L164" i="19"/>
  <c r="N164" i="19"/>
  <c r="L163" i="19"/>
  <c r="N163" i="19"/>
  <c r="L162" i="19"/>
  <c r="N162" i="19"/>
  <c r="L161" i="19"/>
  <c r="N161" i="19"/>
  <c r="L159" i="19"/>
  <c r="N159" i="19"/>
  <c r="L158" i="19"/>
  <c r="N158" i="19"/>
  <c r="L157" i="19"/>
  <c r="N157" i="19"/>
  <c r="L156" i="19"/>
  <c r="N156" i="19"/>
  <c r="L155" i="19"/>
  <c r="N155" i="19"/>
  <c r="L154" i="19"/>
  <c r="N154" i="19"/>
  <c r="L153" i="19"/>
  <c r="N153" i="19"/>
  <c r="L152" i="19"/>
  <c r="N152" i="19"/>
  <c r="L151" i="19"/>
  <c r="N151" i="19"/>
  <c r="L150" i="19"/>
  <c r="N150" i="19"/>
  <c r="L148" i="19"/>
  <c r="N148" i="19"/>
  <c r="L147" i="19"/>
  <c r="N147" i="19"/>
  <c r="L146" i="19"/>
  <c r="N146" i="19"/>
  <c r="L145" i="19"/>
  <c r="N145" i="19"/>
  <c r="L144" i="19"/>
  <c r="N144" i="19"/>
  <c r="L143" i="19"/>
  <c r="N143" i="19"/>
  <c r="L142" i="19"/>
  <c r="N142" i="19"/>
  <c r="L141" i="19"/>
  <c r="N141" i="19"/>
  <c r="L140" i="19"/>
  <c r="N140" i="19"/>
  <c r="L139" i="19"/>
  <c r="N139" i="19"/>
  <c r="L137" i="19"/>
  <c r="N137" i="19"/>
  <c r="L136" i="19"/>
  <c r="N136" i="19"/>
  <c r="L135" i="19"/>
  <c r="N135" i="19"/>
  <c r="L134" i="19"/>
  <c r="N134" i="19"/>
  <c r="L133" i="19"/>
  <c r="N133" i="19"/>
  <c r="L132" i="19"/>
  <c r="N132" i="19"/>
  <c r="L131" i="19"/>
  <c r="N131" i="19"/>
  <c r="L130" i="19"/>
  <c r="N130" i="19"/>
  <c r="L129" i="19"/>
  <c r="N129" i="19"/>
  <c r="L128" i="19"/>
  <c r="L126" i="19"/>
  <c r="N126" i="19"/>
  <c r="L125" i="19"/>
  <c r="N125" i="19"/>
  <c r="L124" i="19"/>
  <c r="N124" i="19"/>
  <c r="L123" i="19"/>
  <c r="N123" i="19"/>
  <c r="L122" i="19"/>
  <c r="N122" i="19"/>
  <c r="L108" i="19"/>
  <c r="N108" i="19"/>
  <c r="L53" i="19"/>
  <c r="N53" i="19"/>
  <c r="L52" i="19"/>
  <c r="N52" i="19"/>
  <c r="L51" i="19"/>
  <c r="N51" i="19"/>
  <c r="L50" i="19"/>
  <c r="N50" i="19"/>
  <c r="L49" i="19"/>
  <c r="N49" i="19"/>
  <c r="L47" i="19"/>
  <c r="N47" i="19"/>
  <c r="L46" i="19"/>
  <c r="N46" i="19"/>
  <c r="L45" i="19"/>
  <c r="N45" i="19"/>
  <c r="L44" i="19"/>
  <c r="N44" i="19"/>
  <c r="L43" i="19"/>
  <c r="N43" i="19"/>
  <c r="L42" i="19"/>
  <c r="N42" i="19"/>
  <c r="L41" i="19"/>
  <c r="N41" i="19"/>
  <c r="L40" i="19"/>
  <c r="N40" i="19"/>
  <c r="L39" i="19"/>
  <c r="N39" i="19"/>
  <c r="L38" i="19"/>
  <c r="N38" i="19"/>
  <c r="L36" i="19"/>
  <c r="N36" i="19"/>
  <c r="L35" i="19"/>
  <c r="N35" i="19"/>
  <c r="L34" i="19"/>
  <c r="N34" i="19"/>
  <c r="L33" i="19"/>
  <c r="N33" i="19"/>
  <c r="L32" i="19"/>
  <c r="N32" i="19"/>
  <c r="L31" i="19"/>
  <c r="N31" i="19"/>
  <c r="L30" i="19"/>
  <c r="N30" i="19"/>
  <c r="L29" i="19"/>
  <c r="N29" i="19"/>
  <c r="L28" i="19"/>
  <c r="N28" i="19"/>
  <c r="L27" i="19"/>
  <c r="N27" i="19"/>
  <c r="L25" i="19"/>
  <c r="N25" i="19"/>
  <c r="L24" i="19"/>
  <c r="N24" i="19"/>
  <c r="L23" i="19"/>
  <c r="N23" i="19"/>
  <c r="L22" i="19"/>
  <c r="N22" i="19"/>
  <c r="L21" i="19"/>
  <c r="N21" i="19"/>
  <c r="L20" i="19"/>
  <c r="N20" i="19"/>
  <c r="L19" i="19"/>
  <c r="N19" i="19"/>
  <c r="L18" i="19"/>
  <c r="N18" i="19"/>
  <c r="L17" i="19"/>
  <c r="L16" i="19"/>
  <c r="N16" i="19"/>
  <c r="L14" i="19"/>
  <c r="L13" i="19"/>
  <c r="L12" i="19"/>
  <c r="N12" i="19"/>
  <c r="L9" i="19"/>
  <c r="N9" i="19"/>
  <c r="L11" i="19"/>
  <c r="N11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87" i="19"/>
  <c r="F86" i="19"/>
  <c r="F85" i="19"/>
  <c r="F76" i="19"/>
  <c r="F77" i="19"/>
  <c r="F78" i="19"/>
  <c r="F79" i="19"/>
  <c r="F80" i="19"/>
  <c r="F81" i="19"/>
  <c r="F66" i="19"/>
  <c r="F67" i="19"/>
  <c r="F68" i="19"/>
  <c r="F69" i="19"/>
  <c r="F70" i="19"/>
  <c r="F71" i="19"/>
  <c r="F72" i="19"/>
  <c r="F73" i="19"/>
  <c r="F74" i="19"/>
  <c r="F75" i="19"/>
  <c r="F51" i="19"/>
  <c r="F50" i="19"/>
  <c r="F49" i="19"/>
  <c r="F48" i="19"/>
  <c r="F47" i="19"/>
  <c r="F46" i="19"/>
  <c r="F10" i="19"/>
  <c r="F9" i="19"/>
  <c r="F65" i="19"/>
  <c r="N274" i="19"/>
  <c r="N264" i="19"/>
  <c r="N263" i="19"/>
  <c r="N252" i="19"/>
  <c r="N251" i="19"/>
  <c r="N241" i="19"/>
  <c r="N236" i="19"/>
  <c r="N222" i="19"/>
  <c r="N217" i="19"/>
  <c r="N216" i="19"/>
  <c r="N206" i="19"/>
  <c r="N195" i="19"/>
  <c r="N189" i="19"/>
  <c r="N184" i="19"/>
  <c r="N165" i="19"/>
  <c r="N160" i="19"/>
  <c r="N149" i="19"/>
  <c r="N138" i="19"/>
  <c r="N128" i="19"/>
  <c r="N127" i="19"/>
  <c r="N48" i="19"/>
  <c r="N37" i="19"/>
  <c r="N26" i="19"/>
  <c r="N17" i="19"/>
  <c r="N13" i="19"/>
  <c r="N14" i="19"/>
  <c r="N15" i="19"/>
  <c r="F11" i="19"/>
  <c r="F29" i="19"/>
  <c r="F28" i="19"/>
  <c r="F25" i="19"/>
  <c r="F23" i="19"/>
  <c r="F21" i="19"/>
  <c r="F14" i="19"/>
  <c r="F12" i="19"/>
  <c r="F20" i="19"/>
  <c r="F19" i="19"/>
</calcChain>
</file>

<file path=xl/sharedStrings.xml><?xml version="1.0" encoding="utf-8"?>
<sst xmlns="http://schemas.openxmlformats.org/spreadsheetml/2006/main" count="483" uniqueCount="69">
  <si>
    <t xml:space="preserve">Lp. </t>
  </si>
  <si>
    <t>S4</t>
  </si>
  <si>
    <t>M1</t>
  </si>
  <si>
    <t>M2</t>
  </si>
  <si>
    <t>Zatwierdził:</t>
  </si>
  <si>
    <t>DB</t>
  </si>
  <si>
    <t>GB</t>
  </si>
  <si>
    <t>OS, TP</t>
  </si>
  <si>
    <t>Określenie wg. KJW</t>
  </si>
  <si>
    <t>Gatunek</t>
  </si>
  <si>
    <t>Podatek VAT</t>
  </si>
  <si>
    <t>wszystkie</t>
  </si>
  <si>
    <t>Cena netto [zł]</t>
  </si>
  <si>
    <t>Cena brutto [zł]</t>
  </si>
  <si>
    <t xml:space="preserve">DB, DB.C, </t>
  </si>
  <si>
    <t>DG, JD, ŚW, SO, MD</t>
  </si>
  <si>
    <t>LP</t>
  </si>
  <si>
    <t>OL</t>
  </si>
  <si>
    <t>OS</t>
  </si>
  <si>
    <t>PL</t>
  </si>
  <si>
    <t>S3A</t>
  </si>
  <si>
    <t>S4 PKN</t>
  </si>
  <si>
    <t>BRZ, SO, ŚW, JD, MD, DG,</t>
  </si>
  <si>
    <t>S3B</t>
  </si>
  <si>
    <t>BRZ</t>
  </si>
  <si>
    <t>DB, GB</t>
  </si>
  <si>
    <t>BK</t>
  </si>
  <si>
    <t>MD</t>
  </si>
  <si>
    <t>S2B GK</t>
  </si>
  <si>
    <t>JD</t>
  </si>
  <si>
    <t>W_STANDARD</t>
  </si>
  <si>
    <t>AK</t>
  </si>
  <si>
    <t>Klasa wymiar.</t>
  </si>
  <si>
    <t>Klasa jakość.</t>
  </si>
  <si>
    <t>WA0</t>
  </si>
  <si>
    <t>WB0</t>
  </si>
  <si>
    <t>WC0</t>
  </si>
  <si>
    <t>WD</t>
  </si>
  <si>
    <t>DB.C</t>
  </si>
  <si>
    <t>JS</t>
  </si>
  <si>
    <t>SO</t>
  </si>
  <si>
    <t>ŚW</t>
  </si>
  <si>
    <t>DG</t>
  </si>
  <si>
    <t>WK_STANDARD</t>
  </si>
  <si>
    <t>X</t>
  </si>
  <si>
    <t>Sporządził:</t>
  </si>
  <si>
    <t>S2A</t>
  </si>
  <si>
    <t>M2.W</t>
  </si>
  <si>
    <t>PNIAKI</t>
  </si>
  <si>
    <t xml:space="preserve">BRZ </t>
  </si>
  <si>
    <t>AK, BK, DB.C</t>
  </si>
  <si>
    <t>KL</t>
  </si>
  <si>
    <t>DB. DB.C</t>
  </si>
  <si>
    <t>JW</t>
  </si>
  <si>
    <t>SW</t>
  </si>
  <si>
    <t>TP</t>
  </si>
  <si>
    <t>S2AP</t>
  </si>
  <si>
    <t>KL, JW.</t>
  </si>
  <si>
    <t>Marcin Ciecierski</t>
  </si>
  <si>
    <t>Nadleśniczy</t>
  </si>
  <si>
    <t>Robert Krokowski</t>
  </si>
  <si>
    <t xml:space="preserve">JW </t>
  </si>
  <si>
    <t>OS, LP, TP, WB</t>
  </si>
  <si>
    <t xml:space="preserve">AK, BK, BRZ, CZM, CZR, GR, JRZ, JS, JW, KL,  KSZ, LES, WZ, OL, PL, </t>
  </si>
  <si>
    <t>JD, DG</t>
  </si>
  <si>
    <t>3 zł. netto za 1 szt</t>
  </si>
  <si>
    <t>PL,WZ</t>
  </si>
  <si>
    <t>JW, KL, PL</t>
  </si>
  <si>
    <t xml:space="preserve"> 
Załącznik 
CENNIK  NR 1 NA  SUROWIEC  DRZEWNY                            do Zarządzenia nr 4/24
Nadleśniczego Nadleśnictwa Poddębice 
z dnia 9 stycznia 2024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</si>
</sst>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Alignment="1">
      <alignment horizontal="center" vertical="center" wrapText="1"/>
    </xf>
    <xf numFmtId="9" fontId="1" fillId="0" borderId="34" xfId="0" applyNumberFormat="1" applyFont="1" applyBorder="1" applyAlignment="1">
      <alignment horizontal="center" vertical="center" wrapText="1"/>
    </xf>
    <xf numFmtId="9" fontId="1" fillId="0" borderId="38" xfId="0" applyNumberFormat="1" applyFont="1" applyBorder="1" applyAlignment="1">
      <alignment horizontal="center" vertical="center" wrapText="1"/>
    </xf>
    <xf numFmtId="9" fontId="1" fillId="0" borderId="35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center" vertical="center" wrapText="1"/>
    </xf>
    <xf numFmtId="9" fontId="1" fillId="0" borderId="37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5"/>
  <sheetViews>
    <sheetView tabSelected="1" topLeftCell="A301" zoomScale="90" zoomScaleNormal="90" zoomScaleSheetLayoutView="120" workbookViewId="0">
      <selection activeCell="S12" sqref="S12"/>
    </sheetView>
  </sheetViews>
  <sheetFormatPr defaultRowHeight="13.2" x14ac:dyDescent="0.25"/>
  <cols>
    <col min="1" max="1" width="9.109375" style="1" customWidth="1"/>
    <col min="2" max="2" width="13.5546875" style="1" customWidth="1"/>
    <col min="3" max="3" width="32.109375" style="1" customWidth="1"/>
    <col min="4" max="4" width="8.5546875" style="1" customWidth="1"/>
    <col min="5" max="5" width="9.109375" style="2" customWidth="1"/>
    <col min="6" max="6" width="16.109375" style="3" customWidth="1"/>
    <col min="7" max="7" width="5.88671875" style="4" customWidth="1"/>
    <col min="8" max="8" width="16" style="4" customWidth="1"/>
    <col min="9" max="9" width="18.88671875" style="4" customWidth="1"/>
    <col min="10" max="10" width="9.33203125" style="4" customWidth="1"/>
    <col min="11" max="11" width="8.5546875" style="4" customWidth="1"/>
    <col min="12" max="12" width="9.109375" style="21" customWidth="1"/>
    <col min="13" max="13" width="8.44140625" style="20" customWidth="1"/>
    <col min="14" max="14" width="12.109375" style="22" customWidth="1"/>
  </cols>
  <sheetData>
    <row r="1" spans="1:15" ht="12.75" customHeight="1" x14ac:dyDescent="0.25">
      <c r="A1" s="65" t="s">
        <v>68</v>
      </c>
      <c r="B1" s="65"/>
      <c r="C1" s="65"/>
      <c r="D1" s="65"/>
      <c r="E1" s="65"/>
      <c r="F1" s="65"/>
      <c r="G1" s="65" t="s">
        <v>68</v>
      </c>
      <c r="H1" s="65"/>
      <c r="I1" s="65"/>
      <c r="J1" s="65"/>
      <c r="K1" s="65"/>
      <c r="L1" s="65"/>
      <c r="M1" s="65"/>
      <c r="N1" s="65"/>
      <c r="O1" s="19"/>
    </row>
    <row r="2" spans="1:15" ht="14.2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9"/>
    </row>
    <row r="3" spans="1:15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9"/>
    </row>
    <row r="4" spans="1:15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9"/>
    </row>
    <row r="5" spans="1:15" ht="30.7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9"/>
    </row>
    <row r="6" spans="1:15" ht="13.8" thickBot="1" x14ac:dyDescent="0.3"/>
    <row r="7" spans="1:15" ht="12.75" customHeight="1" x14ac:dyDescent="0.25">
      <c r="A7" s="88" t="s">
        <v>0</v>
      </c>
      <c r="B7" s="82" t="s">
        <v>8</v>
      </c>
      <c r="C7" s="82" t="s">
        <v>9</v>
      </c>
      <c r="D7" s="82" t="s">
        <v>12</v>
      </c>
      <c r="E7" s="78" t="s">
        <v>10</v>
      </c>
      <c r="F7" s="80" t="s">
        <v>13</v>
      </c>
      <c r="G7" s="66" t="s">
        <v>0</v>
      </c>
      <c r="H7" s="68" t="s">
        <v>8</v>
      </c>
      <c r="I7" s="68" t="s">
        <v>9</v>
      </c>
      <c r="J7" s="68" t="s">
        <v>33</v>
      </c>
      <c r="K7" s="68" t="s">
        <v>32</v>
      </c>
      <c r="L7" s="70" t="s">
        <v>12</v>
      </c>
      <c r="M7" s="72" t="s">
        <v>10</v>
      </c>
      <c r="N7" s="74" t="s">
        <v>13</v>
      </c>
    </row>
    <row r="8" spans="1:15" ht="26.25" customHeight="1" thickBot="1" x14ac:dyDescent="0.3">
      <c r="A8" s="92"/>
      <c r="B8" s="93"/>
      <c r="C8" s="93"/>
      <c r="D8" s="93"/>
      <c r="E8" s="79"/>
      <c r="F8" s="81"/>
      <c r="G8" s="67"/>
      <c r="H8" s="69"/>
      <c r="I8" s="69"/>
      <c r="J8" s="69"/>
      <c r="K8" s="69"/>
      <c r="L8" s="71"/>
      <c r="M8" s="73"/>
      <c r="N8" s="75"/>
    </row>
    <row r="9" spans="1:15" x14ac:dyDescent="0.25">
      <c r="A9" s="7">
        <v>1</v>
      </c>
      <c r="B9" s="36" t="s">
        <v>3</v>
      </c>
      <c r="C9" s="36" t="s">
        <v>11</v>
      </c>
      <c r="D9" s="36">
        <v>50</v>
      </c>
      <c r="E9" s="42">
        <v>0.23</v>
      </c>
      <c r="F9" s="43">
        <f>D9+E9*D9</f>
        <v>61.5</v>
      </c>
      <c r="G9" s="23">
        <v>66</v>
      </c>
      <c r="H9" s="24" t="s">
        <v>30</v>
      </c>
      <c r="I9" s="24" t="s">
        <v>31</v>
      </c>
      <c r="J9" s="24" t="s">
        <v>34</v>
      </c>
      <c r="K9" s="24">
        <v>2</v>
      </c>
      <c r="L9" s="25">
        <f>L15*1.742</f>
        <v>592.28</v>
      </c>
      <c r="M9" s="26">
        <v>0.23</v>
      </c>
      <c r="N9" s="27">
        <f t="shared" ref="N9:N20" si="0">L9+M9*L9</f>
        <v>728.50440000000003</v>
      </c>
    </row>
    <row r="10" spans="1:15" x14ac:dyDescent="0.25">
      <c r="A10" s="8">
        <v>2</v>
      </c>
      <c r="B10" s="5" t="s">
        <v>47</v>
      </c>
      <c r="C10" s="5" t="s">
        <v>11</v>
      </c>
      <c r="D10" s="5">
        <v>30</v>
      </c>
      <c r="E10" s="6">
        <v>0.23</v>
      </c>
      <c r="F10" s="9">
        <f>D10+E10*D10</f>
        <v>36.9</v>
      </c>
      <c r="G10" s="28"/>
      <c r="H10" s="37"/>
      <c r="I10" s="37"/>
      <c r="J10" s="37"/>
      <c r="K10" s="37"/>
      <c r="L10" s="49"/>
      <c r="M10" s="50"/>
      <c r="N10" s="29"/>
    </row>
    <row r="11" spans="1:15" x14ac:dyDescent="0.25">
      <c r="A11" s="8">
        <v>3</v>
      </c>
      <c r="B11" s="5" t="s">
        <v>2</v>
      </c>
      <c r="C11" s="5" t="s">
        <v>11</v>
      </c>
      <c r="D11" s="5">
        <v>140</v>
      </c>
      <c r="E11" s="6">
        <v>0.23</v>
      </c>
      <c r="F11" s="9">
        <f>D11+E11*D11</f>
        <v>172.2</v>
      </c>
      <c r="G11" s="28"/>
      <c r="H11" s="37"/>
      <c r="I11" s="37"/>
      <c r="J11" s="37" t="s">
        <v>34</v>
      </c>
      <c r="K11" s="37">
        <v>3</v>
      </c>
      <c r="L11" s="49">
        <f>L15*1.955</f>
        <v>664.7</v>
      </c>
      <c r="M11" s="50">
        <v>0.23</v>
      </c>
      <c r="N11" s="29">
        <f t="shared" si="0"/>
        <v>817.58100000000013</v>
      </c>
    </row>
    <row r="12" spans="1:15" x14ac:dyDescent="0.25">
      <c r="A12" s="96">
        <v>4</v>
      </c>
      <c r="B12" s="87" t="s">
        <v>1</v>
      </c>
      <c r="C12" s="87" t="s">
        <v>62</v>
      </c>
      <c r="D12" s="87">
        <v>132</v>
      </c>
      <c r="E12" s="94">
        <v>0.23</v>
      </c>
      <c r="F12" s="95">
        <f>D12+E12*D12</f>
        <v>162.36000000000001</v>
      </c>
      <c r="G12" s="28"/>
      <c r="H12" s="37"/>
      <c r="I12" s="37"/>
      <c r="J12" s="37" t="s">
        <v>35</v>
      </c>
      <c r="K12" s="37">
        <v>1</v>
      </c>
      <c r="L12" s="49">
        <f>L15*1.401</f>
        <v>476.34000000000003</v>
      </c>
      <c r="M12" s="50">
        <v>0.23</v>
      </c>
      <c r="N12" s="29">
        <f t="shared" si="0"/>
        <v>585.89820000000009</v>
      </c>
    </row>
    <row r="13" spans="1:15" x14ac:dyDescent="0.25">
      <c r="A13" s="96"/>
      <c r="B13" s="87"/>
      <c r="C13" s="87"/>
      <c r="D13" s="87"/>
      <c r="E13" s="94"/>
      <c r="F13" s="95"/>
      <c r="G13" s="28"/>
      <c r="H13" s="37"/>
      <c r="I13" s="37"/>
      <c r="J13" s="37" t="s">
        <v>35</v>
      </c>
      <c r="K13" s="37">
        <v>2</v>
      </c>
      <c r="L13" s="49">
        <f>L15*1.47</f>
        <v>499.8</v>
      </c>
      <c r="M13" s="50">
        <v>0.23</v>
      </c>
      <c r="N13" s="29">
        <f t="shared" si="0"/>
        <v>614.75400000000002</v>
      </c>
    </row>
    <row r="14" spans="1:15" x14ac:dyDescent="0.25">
      <c r="A14" s="96">
        <v>5</v>
      </c>
      <c r="B14" s="87" t="s">
        <v>1</v>
      </c>
      <c r="C14" s="87" t="s">
        <v>15</v>
      </c>
      <c r="D14" s="87">
        <v>180</v>
      </c>
      <c r="E14" s="94">
        <v>0.23</v>
      </c>
      <c r="F14" s="95">
        <f>D14+E14*D14</f>
        <v>221.4</v>
      </c>
      <c r="G14" s="28"/>
      <c r="H14" s="37"/>
      <c r="I14" s="37"/>
      <c r="J14" s="37" t="s">
        <v>35</v>
      </c>
      <c r="K14" s="37">
        <v>3</v>
      </c>
      <c r="L14" s="49">
        <f>L15*1.705</f>
        <v>579.70000000000005</v>
      </c>
      <c r="M14" s="50">
        <v>0.23</v>
      </c>
      <c r="N14" s="29">
        <f t="shared" si="0"/>
        <v>713.03100000000006</v>
      </c>
    </row>
    <row r="15" spans="1:15" x14ac:dyDescent="0.25">
      <c r="A15" s="96"/>
      <c r="B15" s="87"/>
      <c r="C15" s="87"/>
      <c r="D15" s="87"/>
      <c r="E15" s="94"/>
      <c r="F15" s="95"/>
      <c r="G15" s="28"/>
      <c r="H15" s="37"/>
      <c r="I15" s="37"/>
      <c r="J15" s="37" t="s">
        <v>36</v>
      </c>
      <c r="K15" s="37">
        <v>1</v>
      </c>
      <c r="L15" s="49">
        <v>340</v>
      </c>
      <c r="M15" s="50">
        <v>0.23</v>
      </c>
      <c r="N15" s="29">
        <f>L15+M15*L15</f>
        <v>418.2</v>
      </c>
    </row>
    <row r="16" spans="1:15" x14ac:dyDescent="0.25">
      <c r="A16" s="96">
        <v>6</v>
      </c>
      <c r="B16" s="87" t="s">
        <v>1</v>
      </c>
      <c r="C16" s="97" t="s">
        <v>63</v>
      </c>
      <c r="D16" s="87">
        <v>216</v>
      </c>
      <c r="E16" s="94">
        <v>0.23</v>
      </c>
      <c r="F16" s="95">
        <f>D16*1.23</f>
        <v>265.68</v>
      </c>
      <c r="G16" s="28"/>
      <c r="H16" s="37"/>
      <c r="I16" s="37"/>
      <c r="J16" s="37" t="s">
        <v>36</v>
      </c>
      <c r="K16" s="37">
        <v>2</v>
      </c>
      <c r="L16" s="49">
        <f>L15*1.136</f>
        <v>386.23999999999995</v>
      </c>
      <c r="M16" s="50">
        <v>0.23</v>
      </c>
      <c r="N16" s="29">
        <f t="shared" si="0"/>
        <v>475.07519999999994</v>
      </c>
    </row>
    <row r="17" spans="1:14" ht="12.75" customHeight="1" x14ac:dyDescent="0.25">
      <c r="A17" s="96"/>
      <c r="B17" s="87"/>
      <c r="C17" s="97"/>
      <c r="D17" s="87"/>
      <c r="E17" s="94"/>
      <c r="F17" s="95"/>
      <c r="G17" s="28"/>
      <c r="H17" s="37"/>
      <c r="I17" s="37"/>
      <c r="J17" s="37" t="s">
        <v>36</v>
      </c>
      <c r="K17" s="37">
        <v>3</v>
      </c>
      <c r="L17" s="49">
        <f>L15*1.286</f>
        <v>437.24</v>
      </c>
      <c r="M17" s="50">
        <v>0.23</v>
      </c>
      <c r="N17" s="29">
        <f t="shared" si="0"/>
        <v>537.80520000000001</v>
      </c>
    </row>
    <row r="18" spans="1:14" ht="12" customHeight="1" x14ac:dyDescent="0.25">
      <c r="A18" s="96"/>
      <c r="B18" s="87"/>
      <c r="C18" s="97"/>
      <c r="D18" s="87"/>
      <c r="E18" s="94"/>
      <c r="F18" s="95"/>
      <c r="G18" s="28"/>
      <c r="H18" s="37"/>
      <c r="I18" s="37"/>
      <c r="J18" s="37" t="s">
        <v>37</v>
      </c>
      <c r="K18" s="37">
        <v>1</v>
      </c>
      <c r="L18" s="49">
        <f>L15*0.814</f>
        <v>276.76</v>
      </c>
      <c r="M18" s="50">
        <v>0.23</v>
      </c>
      <c r="N18" s="29">
        <f t="shared" si="0"/>
        <v>340.41480000000001</v>
      </c>
    </row>
    <row r="19" spans="1:14" x14ac:dyDescent="0.25">
      <c r="A19" s="8">
        <v>7</v>
      </c>
      <c r="B19" s="5" t="s">
        <v>1</v>
      </c>
      <c r="C19" s="5" t="s">
        <v>14</v>
      </c>
      <c r="D19" s="5">
        <v>228</v>
      </c>
      <c r="E19" s="6">
        <v>0.23</v>
      </c>
      <c r="F19" s="9">
        <f>D19+E19*D19</f>
        <v>280.44</v>
      </c>
      <c r="G19" s="28"/>
      <c r="H19" s="37"/>
      <c r="I19" s="37"/>
      <c r="J19" s="37" t="s">
        <v>37</v>
      </c>
      <c r="K19" s="37">
        <v>2</v>
      </c>
      <c r="L19" s="49">
        <f>L15*0.863</f>
        <v>293.42</v>
      </c>
      <c r="M19" s="50">
        <v>0.23</v>
      </c>
      <c r="N19" s="29">
        <f t="shared" si="0"/>
        <v>360.90660000000003</v>
      </c>
    </row>
    <row r="20" spans="1:14" ht="13.8" thickBot="1" x14ac:dyDescent="0.3">
      <c r="A20" s="8">
        <v>8</v>
      </c>
      <c r="B20" s="5" t="s">
        <v>1</v>
      </c>
      <c r="C20" s="5" t="s">
        <v>6</v>
      </c>
      <c r="D20" s="5">
        <v>240</v>
      </c>
      <c r="E20" s="6">
        <v>0.23</v>
      </c>
      <c r="F20" s="9">
        <f>D20+E20*D20</f>
        <v>295.2</v>
      </c>
      <c r="G20" s="30"/>
      <c r="H20" s="31"/>
      <c r="I20" s="31"/>
      <c r="J20" s="31" t="s">
        <v>37</v>
      </c>
      <c r="K20" s="31">
        <v>3</v>
      </c>
      <c r="L20" s="32">
        <f>L15*0.971</f>
        <v>330.14</v>
      </c>
      <c r="M20" s="33">
        <v>0.23</v>
      </c>
      <c r="N20" s="34">
        <f t="shared" si="0"/>
        <v>406.07219999999995</v>
      </c>
    </row>
    <row r="21" spans="1:14" x14ac:dyDescent="0.25">
      <c r="A21" s="96">
        <v>9</v>
      </c>
      <c r="B21" s="87" t="s">
        <v>21</v>
      </c>
      <c r="C21" s="87" t="s">
        <v>62</v>
      </c>
      <c r="D21" s="87">
        <v>96</v>
      </c>
      <c r="E21" s="94">
        <v>0.23</v>
      </c>
      <c r="F21" s="95">
        <f>D21+E21*D21</f>
        <v>118.08</v>
      </c>
      <c r="G21" s="23">
        <v>67</v>
      </c>
      <c r="H21" s="24" t="s">
        <v>30</v>
      </c>
      <c r="I21" s="24" t="s">
        <v>26</v>
      </c>
      <c r="J21" s="24" t="s">
        <v>34</v>
      </c>
      <c r="K21" s="24">
        <v>2</v>
      </c>
      <c r="L21" s="25">
        <f>L26*2.416</f>
        <v>978.48</v>
      </c>
      <c r="M21" s="26">
        <v>0.23</v>
      </c>
      <c r="N21" s="27">
        <f t="shared" ref="N21:N26" si="1">L21+M21*L21</f>
        <v>1203.5304000000001</v>
      </c>
    </row>
    <row r="22" spans="1:14" x14ac:dyDescent="0.25">
      <c r="A22" s="96"/>
      <c r="B22" s="87"/>
      <c r="C22" s="87"/>
      <c r="D22" s="87"/>
      <c r="E22" s="94"/>
      <c r="F22" s="95"/>
      <c r="G22" s="28"/>
      <c r="H22" s="37"/>
      <c r="I22" s="37"/>
      <c r="J22" s="37" t="s">
        <v>34</v>
      </c>
      <c r="K22" s="37">
        <v>3</v>
      </c>
      <c r="L22" s="49">
        <f>L26*3.06</f>
        <v>1239.3</v>
      </c>
      <c r="M22" s="50">
        <v>0.23</v>
      </c>
      <c r="N22" s="29">
        <f t="shared" si="1"/>
        <v>1524.3389999999999</v>
      </c>
    </row>
    <row r="23" spans="1:14" x14ac:dyDescent="0.25">
      <c r="A23" s="96">
        <v>10</v>
      </c>
      <c r="B23" s="87" t="s">
        <v>21</v>
      </c>
      <c r="C23" s="87" t="s">
        <v>15</v>
      </c>
      <c r="D23" s="87">
        <v>139</v>
      </c>
      <c r="E23" s="94">
        <v>0.23</v>
      </c>
      <c r="F23" s="95">
        <f>D23+E23*D23</f>
        <v>170.97</v>
      </c>
      <c r="G23" s="28"/>
      <c r="H23" s="37"/>
      <c r="I23" s="37"/>
      <c r="J23" s="37" t="s">
        <v>35</v>
      </c>
      <c r="K23" s="37">
        <v>1</v>
      </c>
      <c r="L23" s="49">
        <f>L26*1.25</f>
        <v>506.25</v>
      </c>
      <c r="M23" s="50">
        <v>0.23</v>
      </c>
      <c r="N23" s="29">
        <f t="shared" si="1"/>
        <v>622.6875</v>
      </c>
    </row>
    <row r="24" spans="1:14" x14ac:dyDescent="0.25">
      <c r="A24" s="96"/>
      <c r="B24" s="87"/>
      <c r="C24" s="87"/>
      <c r="D24" s="87"/>
      <c r="E24" s="94"/>
      <c r="F24" s="95"/>
      <c r="G24" s="28"/>
      <c r="H24" s="37"/>
      <c r="I24" s="37"/>
      <c r="J24" s="37" t="s">
        <v>35</v>
      </c>
      <c r="K24" s="37">
        <v>2</v>
      </c>
      <c r="L24" s="49">
        <f>L26*1.6</f>
        <v>648</v>
      </c>
      <c r="M24" s="50">
        <v>0.23</v>
      </c>
      <c r="N24" s="29">
        <f t="shared" si="1"/>
        <v>797.04</v>
      </c>
    </row>
    <row r="25" spans="1:14" x14ac:dyDescent="0.25">
      <c r="A25" s="96">
        <v>11</v>
      </c>
      <c r="B25" s="87" t="s">
        <v>21</v>
      </c>
      <c r="C25" s="97" t="s">
        <v>63</v>
      </c>
      <c r="D25" s="87">
        <v>171</v>
      </c>
      <c r="E25" s="94">
        <v>0.23</v>
      </c>
      <c r="F25" s="95">
        <f>D25+E25*D25</f>
        <v>210.32999999999998</v>
      </c>
      <c r="G25" s="28"/>
      <c r="H25" s="37"/>
      <c r="I25" s="37"/>
      <c r="J25" s="37" t="s">
        <v>35</v>
      </c>
      <c r="K25" s="37">
        <v>3</v>
      </c>
      <c r="L25" s="49">
        <f>L26*2.1</f>
        <v>850.5</v>
      </c>
      <c r="M25" s="50">
        <v>0.23</v>
      </c>
      <c r="N25" s="29">
        <f t="shared" si="1"/>
        <v>1046.115</v>
      </c>
    </row>
    <row r="26" spans="1:14" ht="12.45" customHeight="1" x14ac:dyDescent="0.25">
      <c r="A26" s="96"/>
      <c r="B26" s="87"/>
      <c r="C26" s="97"/>
      <c r="D26" s="87"/>
      <c r="E26" s="94"/>
      <c r="F26" s="95"/>
      <c r="G26" s="28"/>
      <c r="H26" s="37"/>
      <c r="I26" s="37"/>
      <c r="J26" s="37" t="s">
        <v>36</v>
      </c>
      <c r="K26" s="37">
        <v>1</v>
      </c>
      <c r="L26" s="49">
        <v>405</v>
      </c>
      <c r="M26" s="50">
        <v>0.23</v>
      </c>
      <c r="N26" s="29">
        <f t="shared" si="1"/>
        <v>498.15</v>
      </c>
    </row>
    <row r="27" spans="1:14" x14ac:dyDescent="0.25">
      <c r="A27" s="96"/>
      <c r="B27" s="87"/>
      <c r="C27" s="97"/>
      <c r="D27" s="87"/>
      <c r="E27" s="94"/>
      <c r="F27" s="95"/>
      <c r="G27" s="28"/>
      <c r="H27" s="37"/>
      <c r="I27" s="37"/>
      <c r="J27" s="37" t="s">
        <v>36</v>
      </c>
      <c r="K27" s="37">
        <v>2</v>
      </c>
      <c r="L27" s="49">
        <f>L26*1.25</f>
        <v>506.25</v>
      </c>
      <c r="M27" s="50">
        <v>0.23</v>
      </c>
      <c r="N27" s="29">
        <f t="shared" ref="N27:N36" si="2">L27+M27*L27</f>
        <v>622.6875</v>
      </c>
    </row>
    <row r="28" spans="1:14" x14ac:dyDescent="0.25">
      <c r="A28" s="8">
        <v>12</v>
      </c>
      <c r="B28" s="5" t="s">
        <v>21</v>
      </c>
      <c r="C28" s="5" t="s">
        <v>14</v>
      </c>
      <c r="D28" s="5">
        <v>182</v>
      </c>
      <c r="E28" s="6">
        <v>0.23</v>
      </c>
      <c r="F28" s="9">
        <f>D28+E28*D28</f>
        <v>223.86</v>
      </c>
      <c r="G28" s="28"/>
      <c r="H28" s="37"/>
      <c r="I28" s="37"/>
      <c r="J28" s="37" t="s">
        <v>36</v>
      </c>
      <c r="K28" s="37">
        <v>3</v>
      </c>
      <c r="L28" s="49">
        <f>L26*1.6</f>
        <v>648</v>
      </c>
      <c r="M28" s="50">
        <v>0.23</v>
      </c>
      <c r="N28" s="29">
        <f t="shared" si="2"/>
        <v>797.04</v>
      </c>
    </row>
    <row r="29" spans="1:14" ht="13.8" thickBot="1" x14ac:dyDescent="0.3">
      <c r="A29" s="10">
        <v>13</v>
      </c>
      <c r="B29" s="11" t="s">
        <v>21</v>
      </c>
      <c r="C29" s="11" t="s">
        <v>6</v>
      </c>
      <c r="D29" s="11">
        <v>193</v>
      </c>
      <c r="E29" s="12">
        <v>0.23</v>
      </c>
      <c r="F29" s="13">
        <f>D29+E29*D29</f>
        <v>237.39</v>
      </c>
      <c r="G29" s="28"/>
      <c r="H29" s="37"/>
      <c r="I29" s="37"/>
      <c r="J29" s="37" t="s">
        <v>37</v>
      </c>
      <c r="K29" s="37">
        <v>1</v>
      </c>
      <c r="L29" s="49">
        <f>L26*0.9</f>
        <v>364.5</v>
      </c>
      <c r="M29" s="50">
        <v>0.23</v>
      </c>
      <c r="N29" s="29">
        <f t="shared" si="2"/>
        <v>448.33500000000004</v>
      </c>
    </row>
    <row r="30" spans="1:14" ht="13.8" thickBot="1" x14ac:dyDescent="0.3">
      <c r="G30" s="28"/>
      <c r="H30" s="37"/>
      <c r="I30" s="37"/>
      <c r="J30" s="37" t="s">
        <v>37</v>
      </c>
      <c r="K30" s="37">
        <v>2</v>
      </c>
      <c r="L30" s="49">
        <f>L26*1</f>
        <v>405</v>
      </c>
      <c r="M30" s="50">
        <v>0.23</v>
      </c>
      <c r="N30" s="29">
        <f t="shared" si="2"/>
        <v>498.15</v>
      </c>
    </row>
    <row r="31" spans="1:14" ht="12.75" customHeight="1" thickBot="1" x14ac:dyDescent="0.3">
      <c r="A31" s="85" t="s">
        <v>0</v>
      </c>
      <c r="B31" s="68" t="s">
        <v>8</v>
      </c>
      <c r="C31" s="68" t="s">
        <v>9</v>
      </c>
      <c r="D31" s="68" t="s">
        <v>12</v>
      </c>
      <c r="E31" s="90" t="s">
        <v>10</v>
      </c>
      <c r="F31" s="76" t="s">
        <v>13</v>
      </c>
      <c r="G31" s="30"/>
      <c r="H31" s="31"/>
      <c r="I31" s="31"/>
      <c r="J31" s="31" t="s">
        <v>37</v>
      </c>
      <c r="K31" s="31">
        <v>3</v>
      </c>
      <c r="L31" s="32">
        <f>L26*1.1</f>
        <v>445.50000000000006</v>
      </c>
      <c r="M31" s="33">
        <v>0.23</v>
      </c>
      <c r="N31" s="34">
        <f t="shared" si="2"/>
        <v>547.96500000000003</v>
      </c>
    </row>
    <row r="32" spans="1:14" ht="13.8" thickBot="1" x14ac:dyDescent="0.3">
      <c r="A32" s="86"/>
      <c r="B32" s="69"/>
      <c r="C32" s="69"/>
      <c r="D32" s="69"/>
      <c r="E32" s="91"/>
      <c r="F32" s="77"/>
      <c r="G32" s="23">
        <v>68</v>
      </c>
      <c r="H32" s="24" t="s">
        <v>30</v>
      </c>
      <c r="I32" s="24" t="s">
        <v>24</v>
      </c>
      <c r="J32" s="24" t="s">
        <v>34</v>
      </c>
      <c r="K32" s="24">
        <v>2</v>
      </c>
      <c r="L32" s="25">
        <f>L37*1.816</f>
        <v>960.66399999999999</v>
      </c>
      <c r="M32" s="26">
        <v>0.23</v>
      </c>
      <c r="N32" s="27">
        <f t="shared" si="2"/>
        <v>1181.61672</v>
      </c>
    </row>
    <row r="33" spans="1:14" x14ac:dyDescent="0.25">
      <c r="A33" s="7">
        <v>14</v>
      </c>
      <c r="B33" s="36" t="s">
        <v>56</v>
      </c>
      <c r="C33" s="41" t="s">
        <v>16</v>
      </c>
      <c r="D33" s="41">
        <v>150</v>
      </c>
      <c r="E33" s="42">
        <v>0.23</v>
      </c>
      <c r="F33" s="43">
        <f t="shared" ref="F33:F45" si="3">D33+E33*D33</f>
        <v>184.5</v>
      </c>
      <c r="G33" s="28"/>
      <c r="H33" s="37"/>
      <c r="I33" s="37"/>
      <c r="J33" s="37" t="s">
        <v>34</v>
      </c>
      <c r="K33" s="37">
        <v>3</v>
      </c>
      <c r="L33" s="49">
        <f>L37*2.167</f>
        <v>1146.3429999999998</v>
      </c>
      <c r="M33" s="50">
        <v>0.23</v>
      </c>
      <c r="N33" s="29">
        <f t="shared" si="2"/>
        <v>1410.0018899999998</v>
      </c>
    </row>
    <row r="34" spans="1:14" x14ac:dyDescent="0.25">
      <c r="A34" s="8">
        <v>15</v>
      </c>
      <c r="B34" s="5" t="s">
        <v>56</v>
      </c>
      <c r="C34" s="18" t="s">
        <v>18</v>
      </c>
      <c r="D34" s="18">
        <v>150</v>
      </c>
      <c r="E34" s="6">
        <v>0.23</v>
      </c>
      <c r="F34" s="9">
        <f t="shared" si="3"/>
        <v>184.5</v>
      </c>
      <c r="G34" s="28"/>
      <c r="H34" s="37"/>
      <c r="I34" s="37"/>
      <c r="J34" s="37" t="s">
        <v>35</v>
      </c>
      <c r="K34" s="37">
        <v>1</v>
      </c>
      <c r="L34" s="49">
        <f>L37*1.224</f>
        <v>647.49599999999998</v>
      </c>
      <c r="M34" s="50">
        <v>0.23</v>
      </c>
      <c r="N34" s="29">
        <f t="shared" si="2"/>
        <v>796.42007999999998</v>
      </c>
    </row>
    <row r="35" spans="1:14" x14ac:dyDescent="0.25">
      <c r="A35" s="8">
        <v>16</v>
      </c>
      <c r="B35" s="5" t="s">
        <v>56</v>
      </c>
      <c r="C35" s="5" t="s">
        <v>49</v>
      </c>
      <c r="D35" s="5">
        <v>207</v>
      </c>
      <c r="E35" s="6">
        <v>0.23</v>
      </c>
      <c r="F35" s="9">
        <f t="shared" si="3"/>
        <v>254.61</v>
      </c>
      <c r="G35" s="28"/>
      <c r="H35" s="37"/>
      <c r="I35" s="37"/>
      <c r="J35" s="37" t="s">
        <v>35</v>
      </c>
      <c r="K35" s="37">
        <v>2</v>
      </c>
      <c r="L35" s="49">
        <f>L37*1.425</f>
        <v>753.82500000000005</v>
      </c>
      <c r="M35" s="50">
        <v>0.23</v>
      </c>
      <c r="N35" s="29">
        <f t="shared" si="2"/>
        <v>927.2047500000001</v>
      </c>
    </row>
    <row r="36" spans="1:14" x14ac:dyDescent="0.25">
      <c r="A36" s="8">
        <v>17</v>
      </c>
      <c r="B36" s="5" t="s">
        <v>56</v>
      </c>
      <c r="C36" s="5" t="s">
        <v>31</v>
      </c>
      <c r="D36" s="5">
        <v>207</v>
      </c>
      <c r="E36" s="6">
        <v>0.23</v>
      </c>
      <c r="F36" s="9">
        <f t="shared" si="3"/>
        <v>254.61</v>
      </c>
      <c r="G36" s="28"/>
      <c r="H36" s="37"/>
      <c r="I36" s="37"/>
      <c r="J36" s="37" t="s">
        <v>35</v>
      </c>
      <c r="K36" s="37">
        <v>3</v>
      </c>
      <c r="L36" s="49">
        <f>L37*1.631</f>
        <v>862.79899999999998</v>
      </c>
      <c r="M36" s="50">
        <v>0.23</v>
      </c>
      <c r="N36" s="29">
        <f t="shared" si="2"/>
        <v>1061.2427700000001</v>
      </c>
    </row>
    <row r="37" spans="1:14" ht="12.45" customHeight="1" x14ac:dyDescent="0.25">
      <c r="A37" s="8">
        <v>18</v>
      </c>
      <c r="B37" s="5" t="s">
        <v>56</v>
      </c>
      <c r="C37" s="5" t="s">
        <v>5</v>
      </c>
      <c r="D37" s="5">
        <v>217</v>
      </c>
      <c r="E37" s="6">
        <v>0.23</v>
      </c>
      <c r="F37" s="9">
        <f t="shared" si="3"/>
        <v>266.91000000000003</v>
      </c>
      <c r="G37" s="28"/>
      <c r="H37" s="37"/>
      <c r="I37" s="37"/>
      <c r="J37" s="37" t="s">
        <v>36</v>
      </c>
      <c r="K37" s="37">
        <v>1</v>
      </c>
      <c r="L37" s="49">
        <v>529</v>
      </c>
      <c r="M37" s="50">
        <v>0.23</v>
      </c>
      <c r="N37" s="29">
        <f>L37+M37*L37</f>
        <v>650.66999999999996</v>
      </c>
    </row>
    <row r="38" spans="1:14" ht="12.75" customHeight="1" x14ac:dyDescent="0.25">
      <c r="A38" s="8">
        <v>19</v>
      </c>
      <c r="B38" s="5" t="s">
        <v>56</v>
      </c>
      <c r="C38" s="5" t="s">
        <v>6</v>
      </c>
      <c r="D38" s="5">
        <v>217</v>
      </c>
      <c r="E38" s="6">
        <v>0.23</v>
      </c>
      <c r="F38" s="9">
        <f t="shared" si="3"/>
        <v>266.91000000000003</v>
      </c>
      <c r="G38" s="28"/>
      <c r="H38" s="37"/>
      <c r="I38" s="37"/>
      <c r="J38" s="37" t="s">
        <v>36</v>
      </c>
      <c r="K38" s="37">
        <v>2</v>
      </c>
      <c r="L38" s="49">
        <f>L37*1.123</f>
        <v>594.06700000000001</v>
      </c>
      <c r="M38" s="50">
        <v>0.23</v>
      </c>
      <c r="N38" s="29">
        <f t="shared" ref="N38:N47" si="4">L38+M38*L38</f>
        <v>730.70240999999999</v>
      </c>
    </row>
    <row r="39" spans="1:14" x14ac:dyDescent="0.25">
      <c r="A39" s="8">
        <v>20</v>
      </c>
      <c r="B39" s="5" t="s">
        <v>56</v>
      </c>
      <c r="C39" s="5" t="s">
        <v>29</v>
      </c>
      <c r="D39" s="5">
        <v>205</v>
      </c>
      <c r="E39" s="6">
        <v>0.23</v>
      </c>
      <c r="F39" s="9">
        <f t="shared" si="3"/>
        <v>252.15</v>
      </c>
      <c r="G39" s="28"/>
      <c r="H39" s="37"/>
      <c r="I39" s="37"/>
      <c r="J39" s="37" t="s">
        <v>36</v>
      </c>
      <c r="K39" s="37">
        <v>3</v>
      </c>
      <c r="L39" s="49">
        <f>L37*1.291</f>
        <v>682.93899999999996</v>
      </c>
      <c r="M39" s="50">
        <v>0.23</v>
      </c>
      <c r="N39" s="29">
        <f t="shared" si="4"/>
        <v>840.01496999999995</v>
      </c>
    </row>
    <row r="40" spans="1:14" x14ac:dyDescent="0.25">
      <c r="A40" s="8">
        <v>21</v>
      </c>
      <c r="B40" s="5" t="s">
        <v>56</v>
      </c>
      <c r="C40" s="5" t="s">
        <v>39</v>
      </c>
      <c r="D40" s="5">
        <v>210</v>
      </c>
      <c r="E40" s="6">
        <v>0.23</v>
      </c>
      <c r="F40" s="9">
        <f t="shared" si="3"/>
        <v>258.3</v>
      </c>
      <c r="G40" s="28"/>
      <c r="H40" s="37"/>
      <c r="I40" s="37"/>
      <c r="J40" s="37" t="s">
        <v>37</v>
      </c>
      <c r="K40" s="37">
        <v>1</v>
      </c>
      <c r="L40" s="49">
        <f>L37*0.861</f>
        <v>455.46899999999999</v>
      </c>
      <c r="M40" s="50">
        <v>0.23</v>
      </c>
      <c r="N40" s="29">
        <f t="shared" si="4"/>
        <v>560.22686999999996</v>
      </c>
    </row>
    <row r="41" spans="1:14" x14ac:dyDescent="0.25">
      <c r="A41" s="8">
        <v>22</v>
      </c>
      <c r="B41" s="5" t="s">
        <v>56</v>
      </c>
      <c r="C41" s="5" t="s">
        <v>61</v>
      </c>
      <c r="D41" s="5">
        <v>207</v>
      </c>
      <c r="E41" s="6">
        <v>0.23</v>
      </c>
      <c r="F41" s="9">
        <f t="shared" si="3"/>
        <v>254.61</v>
      </c>
      <c r="G41" s="28"/>
      <c r="H41" s="37"/>
      <c r="I41" s="37"/>
      <c r="J41" s="37" t="s">
        <v>37</v>
      </c>
      <c r="K41" s="37">
        <v>2</v>
      </c>
      <c r="L41" s="49">
        <f>L37*0.952</f>
        <v>503.608</v>
      </c>
      <c r="M41" s="50">
        <v>0.23</v>
      </c>
      <c r="N41" s="29">
        <f t="shared" si="4"/>
        <v>619.43784000000005</v>
      </c>
    </row>
    <row r="42" spans="1:14" ht="13.8" thickBot="1" x14ac:dyDescent="0.3">
      <c r="A42" s="8">
        <v>23</v>
      </c>
      <c r="B42" s="5" t="s">
        <v>56</v>
      </c>
      <c r="C42" s="5" t="s">
        <v>27</v>
      </c>
      <c r="D42" s="5">
        <v>205</v>
      </c>
      <c r="E42" s="6">
        <v>0.23</v>
      </c>
      <c r="F42" s="9">
        <f t="shared" si="3"/>
        <v>252.15</v>
      </c>
      <c r="G42" s="30"/>
      <c r="H42" s="31"/>
      <c r="I42" s="31"/>
      <c r="J42" s="31" t="s">
        <v>37</v>
      </c>
      <c r="K42" s="31">
        <v>3</v>
      </c>
      <c r="L42" s="32">
        <f>L37*1.032</f>
        <v>545.928</v>
      </c>
      <c r="M42" s="33">
        <v>0.23</v>
      </c>
      <c r="N42" s="34">
        <f t="shared" si="4"/>
        <v>671.49144000000001</v>
      </c>
    </row>
    <row r="43" spans="1:14" x14ac:dyDescent="0.25">
      <c r="A43" s="8">
        <v>24</v>
      </c>
      <c r="B43" s="5" t="s">
        <v>56</v>
      </c>
      <c r="C43" s="5" t="s">
        <v>17</v>
      </c>
      <c r="D43" s="5">
        <v>207</v>
      </c>
      <c r="E43" s="6">
        <v>0.23</v>
      </c>
      <c r="F43" s="9">
        <f t="shared" si="3"/>
        <v>254.61</v>
      </c>
      <c r="G43" s="23">
        <v>69</v>
      </c>
      <c r="H43" s="24" t="s">
        <v>30</v>
      </c>
      <c r="I43" s="24" t="s">
        <v>5</v>
      </c>
      <c r="J43" s="24" t="s">
        <v>34</v>
      </c>
      <c r="K43" s="24">
        <v>2</v>
      </c>
      <c r="L43" s="25">
        <f>L48*2.89</f>
        <v>3124.09</v>
      </c>
      <c r="M43" s="26">
        <v>0.23</v>
      </c>
      <c r="N43" s="27">
        <f t="shared" si="4"/>
        <v>3842.6307000000002</v>
      </c>
    </row>
    <row r="44" spans="1:14" x14ac:dyDescent="0.25">
      <c r="A44" s="8">
        <v>25</v>
      </c>
      <c r="B44" s="5" t="s">
        <v>56</v>
      </c>
      <c r="C44" s="5" t="s">
        <v>40</v>
      </c>
      <c r="D44" s="5">
        <v>205</v>
      </c>
      <c r="E44" s="6">
        <v>0.23</v>
      </c>
      <c r="F44" s="9">
        <f t="shared" si="3"/>
        <v>252.15</v>
      </c>
      <c r="G44" s="28"/>
      <c r="H44" s="37"/>
      <c r="I44" s="37"/>
      <c r="J44" s="37" t="s">
        <v>34</v>
      </c>
      <c r="K44" s="37">
        <v>3</v>
      </c>
      <c r="L44" s="49">
        <f>L48*3.7</f>
        <v>3999.7000000000003</v>
      </c>
      <c r="M44" s="50">
        <v>0.23</v>
      </c>
      <c r="N44" s="29">
        <f t="shared" si="4"/>
        <v>4919.6310000000003</v>
      </c>
    </row>
    <row r="45" spans="1:14" x14ac:dyDescent="0.25">
      <c r="A45" s="8">
        <v>26</v>
      </c>
      <c r="B45" s="5" t="s">
        <v>56</v>
      </c>
      <c r="C45" s="5" t="s">
        <v>41</v>
      </c>
      <c r="D45" s="5">
        <v>205</v>
      </c>
      <c r="E45" s="6">
        <v>0.23</v>
      </c>
      <c r="F45" s="9">
        <f t="shared" si="3"/>
        <v>252.15</v>
      </c>
      <c r="G45" s="28"/>
      <c r="H45" s="37"/>
      <c r="I45" s="37"/>
      <c r="J45" s="37" t="s">
        <v>35</v>
      </c>
      <c r="K45" s="37">
        <v>1</v>
      </c>
      <c r="L45" s="49">
        <f>L48*1.3</f>
        <v>1405.3</v>
      </c>
      <c r="M45" s="50">
        <v>0.23</v>
      </c>
      <c r="N45" s="29">
        <f t="shared" si="4"/>
        <v>1728.519</v>
      </c>
    </row>
    <row r="46" spans="1:14" x14ac:dyDescent="0.25">
      <c r="A46" s="8">
        <v>27</v>
      </c>
      <c r="B46" s="5" t="s">
        <v>56</v>
      </c>
      <c r="C46" s="5" t="s">
        <v>26</v>
      </c>
      <c r="D46" s="5">
        <v>210</v>
      </c>
      <c r="E46" s="6">
        <v>0.23</v>
      </c>
      <c r="F46" s="9">
        <f t="shared" ref="F46:F51" si="5">D46+E46*D46</f>
        <v>258.3</v>
      </c>
      <c r="G46" s="28"/>
      <c r="H46" s="37"/>
      <c r="I46" s="37"/>
      <c r="J46" s="37" t="s">
        <v>35</v>
      </c>
      <c r="K46" s="37">
        <v>2</v>
      </c>
      <c r="L46" s="49">
        <f>L48*2.09</f>
        <v>2259.29</v>
      </c>
      <c r="M46" s="50">
        <v>0.23</v>
      </c>
      <c r="N46" s="29">
        <f t="shared" si="4"/>
        <v>2778.9267</v>
      </c>
    </row>
    <row r="47" spans="1:14" x14ac:dyDescent="0.25">
      <c r="A47" s="8">
        <v>28</v>
      </c>
      <c r="B47" s="5" t="s">
        <v>56</v>
      </c>
      <c r="C47" s="5" t="s">
        <v>51</v>
      </c>
      <c r="D47" s="5">
        <v>207</v>
      </c>
      <c r="E47" s="6">
        <v>0.23</v>
      </c>
      <c r="F47" s="9">
        <f t="shared" si="5"/>
        <v>254.61</v>
      </c>
      <c r="G47" s="28"/>
      <c r="H47" s="37"/>
      <c r="I47" s="37"/>
      <c r="J47" s="37" t="s">
        <v>35</v>
      </c>
      <c r="K47" s="37">
        <v>3</v>
      </c>
      <c r="L47" s="49">
        <f>L48*3</f>
        <v>3243</v>
      </c>
      <c r="M47" s="50">
        <v>0.23</v>
      </c>
      <c r="N47" s="29">
        <f t="shared" si="4"/>
        <v>3988.89</v>
      </c>
    </row>
    <row r="48" spans="1:14" x14ac:dyDescent="0.25">
      <c r="A48" s="8">
        <v>29</v>
      </c>
      <c r="B48" s="5" t="s">
        <v>56</v>
      </c>
      <c r="C48" s="5" t="s">
        <v>38</v>
      </c>
      <c r="D48" s="5">
        <v>217</v>
      </c>
      <c r="E48" s="6">
        <v>0.23</v>
      </c>
      <c r="F48" s="9">
        <f t="shared" si="5"/>
        <v>266.91000000000003</v>
      </c>
      <c r="G48" s="28"/>
      <c r="H48" s="37"/>
      <c r="I48" s="37"/>
      <c r="J48" s="37" t="s">
        <v>36</v>
      </c>
      <c r="K48" s="37">
        <v>1</v>
      </c>
      <c r="L48" s="49">
        <v>1081</v>
      </c>
      <c r="M48" s="50">
        <v>0.23</v>
      </c>
      <c r="N48" s="29">
        <f t="shared" ref="N48:N53" si="6">L48+M48*L48</f>
        <v>1329.63</v>
      </c>
    </row>
    <row r="49" spans="1:14" x14ac:dyDescent="0.25">
      <c r="A49" s="8">
        <v>30</v>
      </c>
      <c r="B49" s="5" t="s">
        <v>56</v>
      </c>
      <c r="C49" s="5" t="s">
        <v>42</v>
      </c>
      <c r="D49" s="5">
        <v>205</v>
      </c>
      <c r="E49" s="6">
        <v>0.23</v>
      </c>
      <c r="F49" s="9">
        <f t="shared" si="5"/>
        <v>252.15</v>
      </c>
      <c r="G49" s="28"/>
      <c r="H49" s="37"/>
      <c r="I49" s="37"/>
      <c r="J49" s="37" t="s">
        <v>36</v>
      </c>
      <c r="K49" s="37">
        <v>2</v>
      </c>
      <c r="L49" s="49">
        <f>L48*1.44</f>
        <v>1556.6399999999999</v>
      </c>
      <c r="M49" s="50">
        <v>0.23</v>
      </c>
      <c r="N49" s="29">
        <f t="shared" si="6"/>
        <v>1914.6671999999999</v>
      </c>
    </row>
    <row r="50" spans="1:14" x14ac:dyDescent="0.25">
      <c r="A50" s="8">
        <v>31</v>
      </c>
      <c r="B50" s="5" t="s">
        <v>56</v>
      </c>
      <c r="C50" s="5" t="s">
        <v>55</v>
      </c>
      <c r="D50" s="5">
        <v>150</v>
      </c>
      <c r="E50" s="6">
        <v>0.23</v>
      </c>
      <c r="F50" s="9">
        <f t="shared" si="5"/>
        <v>184.5</v>
      </c>
      <c r="G50" s="28"/>
      <c r="H50" s="37"/>
      <c r="I50" s="37"/>
      <c r="J50" s="37" t="s">
        <v>36</v>
      </c>
      <c r="K50" s="37">
        <v>3</v>
      </c>
      <c r="L50" s="49">
        <f>L48*1.94</f>
        <v>2097.14</v>
      </c>
      <c r="M50" s="50">
        <v>0.23</v>
      </c>
      <c r="N50" s="29">
        <f t="shared" si="6"/>
        <v>2579.4821999999999</v>
      </c>
    </row>
    <row r="51" spans="1:14" ht="13.8" thickBot="1" x14ac:dyDescent="0.3">
      <c r="A51" s="10">
        <v>32</v>
      </c>
      <c r="B51" s="11" t="s">
        <v>56</v>
      </c>
      <c r="C51" s="11" t="s">
        <v>19</v>
      </c>
      <c r="D51" s="11">
        <v>207</v>
      </c>
      <c r="E51" s="12">
        <v>0.23</v>
      </c>
      <c r="F51" s="13">
        <f t="shared" si="5"/>
        <v>254.61</v>
      </c>
      <c r="G51" s="28"/>
      <c r="H51" s="37"/>
      <c r="I51" s="37"/>
      <c r="J51" s="37" t="s">
        <v>37</v>
      </c>
      <c r="K51" s="37">
        <v>1</v>
      </c>
      <c r="L51" s="49">
        <f>L48*0.55</f>
        <v>594.55000000000007</v>
      </c>
      <c r="M51" s="50">
        <v>0.23</v>
      </c>
      <c r="N51" s="29">
        <f t="shared" si="6"/>
        <v>731.29650000000015</v>
      </c>
    </row>
    <row r="52" spans="1:14" x14ac:dyDescent="0.25">
      <c r="A52" s="38"/>
      <c r="B52" s="38"/>
      <c r="C52" s="38"/>
      <c r="D52" s="38"/>
      <c r="E52" s="39"/>
      <c r="F52" s="40"/>
      <c r="G52" s="28"/>
      <c r="H52" s="37"/>
      <c r="I52" s="37"/>
      <c r="J52" s="37" t="s">
        <v>37</v>
      </c>
      <c r="K52" s="37">
        <v>2</v>
      </c>
      <c r="L52" s="49">
        <f>L48*0.94</f>
        <v>1016.14</v>
      </c>
      <c r="M52" s="50">
        <v>0.23</v>
      </c>
      <c r="N52" s="29">
        <f t="shared" si="6"/>
        <v>1249.8522</v>
      </c>
    </row>
    <row r="53" spans="1:14" ht="13.8" thickBot="1" x14ac:dyDescent="0.3">
      <c r="A53" s="38"/>
      <c r="B53" s="38"/>
      <c r="C53" s="38"/>
      <c r="D53" s="38"/>
      <c r="E53" s="39"/>
      <c r="F53" s="40"/>
      <c r="G53" s="30"/>
      <c r="H53" s="31"/>
      <c r="I53" s="31"/>
      <c r="J53" s="31" t="s">
        <v>37</v>
      </c>
      <c r="K53" s="31">
        <v>3</v>
      </c>
      <c r="L53" s="32">
        <f>L48*1.3</f>
        <v>1405.3</v>
      </c>
      <c r="M53" s="33">
        <v>0.23</v>
      </c>
      <c r="N53" s="34">
        <f t="shared" si="6"/>
        <v>1728.519</v>
      </c>
    </row>
    <row r="54" spans="1:14" x14ac:dyDescent="0.25">
      <c r="A54" s="38"/>
      <c r="B54" s="38"/>
      <c r="C54" s="38"/>
      <c r="D54" s="38"/>
      <c r="E54" s="39"/>
      <c r="F54" s="40"/>
    </row>
    <row r="55" spans="1:14" x14ac:dyDescent="0.25">
      <c r="A55" s="38"/>
      <c r="B55" s="38"/>
      <c r="C55" s="38"/>
      <c r="D55" s="38"/>
      <c r="E55" s="39"/>
      <c r="F55" s="40"/>
    </row>
    <row r="57" spans="1:14" ht="12.75" customHeight="1" x14ac:dyDescent="0.25">
      <c r="A57" s="65" t="s">
        <v>68</v>
      </c>
      <c r="B57" s="65"/>
      <c r="C57" s="65"/>
      <c r="D57" s="65"/>
      <c r="E57" s="65"/>
      <c r="F57" s="65"/>
      <c r="G57" s="65" t="s">
        <v>68</v>
      </c>
      <c r="H57" s="65"/>
      <c r="I57" s="65"/>
      <c r="J57" s="65"/>
      <c r="K57" s="65"/>
      <c r="L57" s="65"/>
      <c r="M57" s="65"/>
      <c r="N57" s="65"/>
    </row>
    <row r="58" spans="1:14" ht="12.6" customHeight="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2.6" customHeight="1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2.6" customHeight="1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30.75" customHeight="1" thickBot="1" x14ac:dyDescent="0.3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3.8" thickBot="1" x14ac:dyDescent="0.3">
      <c r="A62" s="59" t="s">
        <v>0</v>
      </c>
      <c r="B62" s="62" t="s">
        <v>8</v>
      </c>
      <c r="C62" s="62" t="s">
        <v>9</v>
      </c>
      <c r="D62" s="62" t="s">
        <v>12</v>
      </c>
      <c r="E62" s="53" t="s">
        <v>10</v>
      </c>
      <c r="F62" s="56" t="s">
        <v>13</v>
      </c>
    </row>
    <row r="63" spans="1:14" ht="12.75" customHeight="1" x14ac:dyDescent="0.25">
      <c r="A63" s="60"/>
      <c r="B63" s="63"/>
      <c r="C63" s="63"/>
      <c r="D63" s="63"/>
      <c r="E63" s="54"/>
      <c r="F63" s="57"/>
      <c r="G63" s="66" t="s">
        <v>0</v>
      </c>
      <c r="H63" s="68" t="s">
        <v>8</v>
      </c>
      <c r="I63" s="68" t="s">
        <v>9</v>
      </c>
      <c r="J63" s="68" t="s">
        <v>33</v>
      </c>
      <c r="K63" s="68" t="s">
        <v>32</v>
      </c>
      <c r="L63" s="70" t="s">
        <v>12</v>
      </c>
      <c r="M63" s="72" t="s">
        <v>10</v>
      </c>
      <c r="N63" s="74" t="s">
        <v>13</v>
      </c>
    </row>
    <row r="64" spans="1:14" ht="13.8" thickBot="1" x14ac:dyDescent="0.3">
      <c r="A64" s="61"/>
      <c r="B64" s="64"/>
      <c r="C64" s="64"/>
      <c r="D64" s="64"/>
      <c r="E64" s="55"/>
      <c r="F64" s="58"/>
      <c r="G64" s="67"/>
      <c r="H64" s="69"/>
      <c r="I64" s="69"/>
      <c r="J64" s="69"/>
      <c r="K64" s="69"/>
      <c r="L64" s="71"/>
      <c r="M64" s="73"/>
      <c r="N64" s="75"/>
    </row>
    <row r="65" spans="1:14" x14ac:dyDescent="0.25">
      <c r="A65" s="7">
        <v>33</v>
      </c>
      <c r="B65" s="36" t="s">
        <v>46</v>
      </c>
      <c r="C65" s="41" t="s">
        <v>24</v>
      </c>
      <c r="D65" s="41">
        <v>251</v>
      </c>
      <c r="E65" s="42">
        <v>0.23</v>
      </c>
      <c r="F65" s="43">
        <f>D65+E65*D65</f>
        <v>308.73</v>
      </c>
      <c r="G65" s="23">
        <v>70</v>
      </c>
      <c r="H65" s="24" t="s">
        <v>30</v>
      </c>
      <c r="I65" s="24" t="s">
        <v>38</v>
      </c>
      <c r="J65" s="24" t="s">
        <v>34</v>
      </c>
      <c r="K65" s="24">
        <v>2</v>
      </c>
      <c r="L65" s="25">
        <f>L70*2.89</f>
        <v>1820.7</v>
      </c>
      <c r="M65" s="26">
        <v>0.23</v>
      </c>
      <c r="N65" s="27">
        <f t="shared" ref="N65:N70" si="7">L65+M65*L65</f>
        <v>2239.4610000000002</v>
      </c>
    </row>
    <row r="66" spans="1:14" x14ac:dyDescent="0.25">
      <c r="A66" s="8">
        <v>34</v>
      </c>
      <c r="B66" s="5" t="s">
        <v>46</v>
      </c>
      <c r="C66" s="18" t="s">
        <v>31</v>
      </c>
      <c r="D66" s="18">
        <v>251</v>
      </c>
      <c r="E66" s="6">
        <v>0.23</v>
      </c>
      <c r="F66" s="9">
        <f t="shared" ref="F66:F81" si="8">D66+E66*D66</f>
        <v>308.73</v>
      </c>
      <c r="G66" s="28"/>
      <c r="H66" s="37"/>
      <c r="I66" s="37"/>
      <c r="J66" s="37" t="s">
        <v>34</v>
      </c>
      <c r="K66" s="37">
        <v>3</v>
      </c>
      <c r="L66" s="49">
        <f>L70*3.7</f>
        <v>2331</v>
      </c>
      <c r="M66" s="50">
        <v>0.23</v>
      </c>
      <c r="N66" s="29">
        <f t="shared" si="7"/>
        <v>2867.13</v>
      </c>
    </row>
    <row r="67" spans="1:14" x14ac:dyDescent="0.25">
      <c r="A67" s="8">
        <v>35</v>
      </c>
      <c r="B67" s="5" t="s">
        <v>46</v>
      </c>
      <c r="C67" s="5" t="s">
        <v>26</v>
      </c>
      <c r="D67" s="5">
        <v>288</v>
      </c>
      <c r="E67" s="6">
        <v>0.23</v>
      </c>
      <c r="F67" s="9">
        <f t="shared" si="8"/>
        <v>354.24</v>
      </c>
      <c r="G67" s="28"/>
      <c r="H67" s="37"/>
      <c r="I67" s="37"/>
      <c r="J67" s="37" t="s">
        <v>35</v>
      </c>
      <c r="K67" s="37">
        <v>1</v>
      </c>
      <c r="L67" s="49">
        <f>L70*1.3</f>
        <v>819</v>
      </c>
      <c r="M67" s="50">
        <v>0.23</v>
      </c>
      <c r="N67" s="29">
        <f t="shared" si="7"/>
        <v>1007.37</v>
      </c>
    </row>
    <row r="68" spans="1:14" x14ac:dyDescent="0.25">
      <c r="A68" s="8">
        <v>36</v>
      </c>
      <c r="B68" s="5" t="s">
        <v>46</v>
      </c>
      <c r="C68" s="5" t="s">
        <v>52</v>
      </c>
      <c r="D68" s="5">
        <v>290</v>
      </c>
      <c r="E68" s="6">
        <v>0.23</v>
      </c>
      <c r="F68" s="9">
        <f t="shared" si="8"/>
        <v>356.7</v>
      </c>
      <c r="G68" s="28"/>
      <c r="H68" s="37"/>
      <c r="I68" s="37"/>
      <c r="J68" s="37" t="s">
        <v>35</v>
      </c>
      <c r="K68" s="37">
        <v>2</v>
      </c>
      <c r="L68" s="49">
        <f>L70*2.09</f>
        <v>1316.6999999999998</v>
      </c>
      <c r="M68" s="50">
        <v>0.23</v>
      </c>
      <c r="N68" s="29">
        <f t="shared" si="7"/>
        <v>1619.5409999999997</v>
      </c>
    </row>
    <row r="69" spans="1:14" x14ac:dyDescent="0.25">
      <c r="A69" s="8">
        <v>37</v>
      </c>
      <c r="B69" s="5" t="s">
        <v>46</v>
      </c>
      <c r="C69" s="5" t="s">
        <v>6</v>
      </c>
      <c r="D69" s="5">
        <v>306</v>
      </c>
      <c r="E69" s="6">
        <v>0.23</v>
      </c>
      <c r="F69" s="9">
        <f t="shared" si="8"/>
        <v>376.38</v>
      </c>
      <c r="G69" s="28"/>
      <c r="H69" s="37"/>
      <c r="I69" s="37"/>
      <c r="J69" s="37" t="s">
        <v>35</v>
      </c>
      <c r="K69" s="37">
        <v>3</v>
      </c>
      <c r="L69" s="49">
        <f>L70*3</f>
        <v>1890</v>
      </c>
      <c r="M69" s="50">
        <v>0.23</v>
      </c>
      <c r="N69" s="29">
        <f t="shared" si="7"/>
        <v>2324.6999999999998</v>
      </c>
    </row>
    <row r="70" spans="1:14" x14ac:dyDescent="0.25">
      <c r="A70" s="8">
        <v>38</v>
      </c>
      <c r="B70" s="5" t="s">
        <v>46</v>
      </c>
      <c r="C70" s="18" t="s">
        <v>64</v>
      </c>
      <c r="D70" s="18">
        <v>240</v>
      </c>
      <c r="E70" s="6">
        <v>0.23</v>
      </c>
      <c r="F70" s="9">
        <f t="shared" si="8"/>
        <v>295.2</v>
      </c>
      <c r="G70" s="28"/>
      <c r="H70" s="37"/>
      <c r="I70" s="37"/>
      <c r="J70" s="37" t="s">
        <v>36</v>
      </c>
      <c r="K70" s="37">
        <v>1</v>
      </c>
      <c r="L70" s="49">
        <v>630</v>
      </c>
      <c r="M70" s="50">
        <v>0.23</v>
      </c>
      <c r="N70" s="29">
        <f t="shared" si="7"/>
        <v>774.9</v>
      </c>
    </row>
    <row r="71" spans="1:14" x14ac:dyDescent="0.25">
      <c r="A71" s="8">
        <v>39</v>
      </c>
      <c r="B71" s="5" t="s">
        <v>46</v>
      </c>
      <c r="C71" s="18" t="s">
        <v>39</v>
      </c>
      <c r="D71" s="18">
        <v>290</v>
      </c>
      <c r="E71" s="6">
        <v>0.23</v>
      </c>
      <c r="F71" s="9">
        <f t="shared" si="8"/>
        <v>356.7</v>
      </c>
      <c r="G71" s="28"/>
      <c r="H71" s="37"/>
      <c r="I71" s="37"/>
      <c r="J71" s="37" t="s">
        <v>36</v>
      </c>
      <c r="K71" s="37">
        <v>2</v>
      </c>
      <c r="L71" s="49">
        <f>L70*1.44</f>
        <v>907.19999999999993</v>
      </c>
      <c r="M71" s="50">
        <v>0.23</v>
      </c>
      <c r="N71" s="29">
        <f t="shared" ref="N71:N80" si="9">L71+M71*L71</f>
        <v>1115.856</v>
      </c>
    </row>
    <row r="72" spans="1:14" x14ac:dyDescent="0.25">
      <c r="A72" s="8">
        <v>40</v>
      </c>
      <c r="B72" s="5" t="s">
        <v>46</v>
      </c>
      <c r="C72" s="5" t="s">
        <v>53</v>
      </c>
      <c r="D72" s="5">
        <v>251</v>
      </c>
      <c r="E72" s="6">
        <v>0.23</v>
      </c>
      <c r="F72" s="9">
        <f t="shared" si="8"/>
        <v>308.73</v>
      </c>
      <c r="G72" s="28"/>
      <c r="H72" s="37"/>
      <c r="I72" s="37"/>
      <c r="J72" s="37" t="s">
        <v>36</v>
      </c>
      <c r="K72" s="37">
        <v>3</v>
      </c>
      <c r="L72" s="49">
        <f>L70*1.94</f>
        <v>1222.2</v>
      </c>
      <c r="M72" s="50">
        <v>0.23</v>
      </c>
      <c r="N72" s="29">
        <f t="shared" si="9"/>
        <v>1503.306</v>
      </c>
    </row>
    <row r="73" spans="1:14" x14ac:dyDescent="0.25">
      <c r="A73" s="8">
        <v>41</v>
      </c>
      <c r="B73" s="5" t="s">
        <v>46</v>
      </c>
      <c r="C73" s="5" t="s">
        <v>51</v>
      </c>
      <c r="D73" s="5">
        <v>251</v>
      </c>
      <c r="E73" s="6">
        <v>0.23</v>
      </c>
      <c r="F73" s="9">
        <f t="shared" si="8"/>
        <v>308.73</v>
      </c>
      <c r="G73" s="28"/>
      <c r="H73" s="37"/>
      <c r="I73" s="37"/>
      <c r="J73" s="37" t="s">
        <v>37</v>
      </c>
      <c r="K73" s="37">
        <v>1</v>
      </c>
      <c r="L73" s="49">
        <f>L70*0.55</f>
        <v>346.5</v>
      </c>
      <c r="M73" s="50">
        <v>0.23</v>
      </c>
      <c r="N73" s="29">
        <f t="shared" si="9"/>
        <v>426.19499999999999</v>
      </c>
    </row>
    <row r="74" spans="1:14" x14ac:dyDescent="0.25">
      <c r="A74" s="8">
        <v>42</v>
      </c>
      <c r="B74" s="5" t="s">
        <v>46</v>
      </c>
      <c r="C74" s="5" t="s">
        <v>16</v>
      </c>
      <c r="D74" s="5">
        <v>165</v>
      </c>
      <c r="E74" s="6">
        <v>0.23</v>
      </c>
      <c r="F74" s="9">
        <f t="shared" si="8"/>
        <v>202.95</v>
      </c>
      <c r="G74" s="28"/>
      <c r="H74" s="37"/>
      <c r="I74" s="37"/>
      <c r="J74" s="37" t="s">
        <v>37</v>
      </c>
      <c r="K74" s="37">
        <v>2</v>
      </c>
      <c r="L74" s="49">
        <f>L70*0.94</f>
        <v>592.19999999999993</v>
      </c>
      <c r="M74" s="50">
        <v>0.23</v>
      </c>
      <c r="N74" s="29">
        <f t="shared" si="9"/>
        <v>728.40599999999995</v>
      </c>
    </row>
    <row r="75" spans="1:14" ht="13.8" thickBot="1" x14ac:dyDescent="0.3">
      <c r="A75" s="8">
        <v>43</v>
      </c>
      <c r="B75" s="5" t="s">
        <v>46</v>
      </c>
      <c r="C75" s="18" t="s">
        <v>27</v>
      </c>
      <c r="D75" s="18">
        <v>240</v>
      </c>
      <c r="E75" s="6">
        <v>0.23</v>
      </c>
      <c r="F75" s="9">
        <f t="shared" si="8"/>
        <v>295.2</v>
      </c>
      <c r="G75" s="30"/>
      <c r="H75" s="31"/>
      <c r="I75" s="31"/>
      <c r="J75" s="31" t="s">
        <v>37</v>
      </c>
      <c r="K75" s="31">
        <v>3</v>
      </c>
      <c r="L75" s="32">
        <f>L70*1.3</f>
        <v>819</v>
      </c>
      <c r="M75" s="33">
        <v>0.23</v>
      </c>
      <c r="N75" s="34">
        <f t="shared" si="9"/>
        <v>1007.37</v>
      </c>
    </row>
    <row r="76" spans="1:14" x14ac:dyDescent="0.25">
      <c r="A76" s="8">
        <v>44</v>
      </c>
      <c r="B76" s="5" t="s">
        <v>46</v>
      </c>
      <c r="C76" s="5" t="s">
        <v>17</v>
      </c>
      <c r="D76" s="5">
        <v>251</v>
      </c>
      <c r="E76" s="6">
        <v>0.23</v>
      </c>
      <c r="F76" s="9">
        <f t="shared" si="8"/>
        <v>308.73</v>
      </c>
      <c r="G76" s="23">
        <v>71</v>
      </c>
      <c r="H76" s="24" t="s">
        <v>30</v>
      </c>
      <c r="I76" s="24" t="s">
        <v>6</v>
      </c>
      <c r="J76" s="24" t="s">
        <v>34</v>
      </c>
      <c r="K76" s="24">
        <v>2</v>
      </c>
      <c r="L76" s="25">
        <f>L81*1.535</f>
        <v>614</v>
      </c>
      <c r="M76" s="26">
        <v>0.23</v>
      </c>
      <c r="N76" s="27">
        <f t="shared" si="9"/>
        <v>755.22</v>
      </c>
    </row>
    <row r="77" spans="1:14" x14ac:dyDescent="0.25">
      <c r="A77" s="8">
        <v>45</v>
      </c>
      <c r="B77" s="5" t="s">
        <v>46</v>
      </c>
      <c r="C77" s="5" t="s">
        <v>18</v>
      </c>
      <c r="D77" s="5">
        <v>181</v>
      </c>
      <c r="E77" s="6">
        <v>0.23</v>
      </c>
      <c r="F77" s="9">
        <f t="shared" si="8"/>
        <v>222.63</v>
      </c>
      <c r="G77" s="28"/>
      <c r="H77" s="37"/>
      <c r="I77" s="37"/>
      <c r="J77" s="37" t="s">
        <v>34</v>
      </c>
      <c r="K77" s="37">
        <v>3</v>
      </c>
      <c r="L77" s="49">
        <f>L81*1.687</f>
        <v>674.80000000000007</v>
      </c>
      <c r="M77" s="50">
        <v>0.23</v>
      </c>
      <c r="N77" s="29">
        <f t="shared" si="9"/>
        <v>830.00400000000013</v>
      </c>
    </row>
    <row r="78" spans="1:14" x14ac:dyDescent="0.25">
      <c r="A78" s="8">
        <v>46</v>
      </c>
      <c r="B78" s="5" t="s">
        <v>46</v>
      </c>
      <c r="C78" s="5" t="s">
        <v>40</v>
      </c>
      <c r="D78" s="5">
        <v>240</v>
      </c>
      <c r="E78" s="6">
        <v>0.23</v>
      </c>
      <c r="F78" s="9">
        <f t="shared" si="8"/>
        <v>295.2</v>
      </c>
      <c r="G78" s="28"/>
      <c r="H78" s="37"/>
      <c r="I78" s="37"/>
      <c r="J78" s="37" t="s">
        <v>35</v>
      </c>
      <c r="K78" s="37">
        <v>1</v>
      </c>
      <c r="L78" s="49">
        <f>L81*1.195</f>
        <v>478</v>
      </c>
      <c r="M78" s="50">
        <v>0.23</v>
      </c>
      <c r="N78" s="29">
        <f t="shared" si="9"/>
        <v>587.94000000000005</v>
      </c>
    </row>
    <row r="79" spans="1:14" x14ac:dyDescent="0.25">
      <c r="A79" s="8">
        <v>47</v>
      </c>
      <c r="B79" s="5" t="s">
        <v>46</v>
      </c>
      <c r="C79" s="5" t="s">
        <v>54</v>
      </c>
      <c r="D79" s="5">
        <v>240</v>
      </c>
      <c r="E79" s="6">
        <v>0.23</v>
      </c>
      <c r="F79" s="9">
        <f t="shared" si="8"/>
        <v>295.2</v>
      </c>
      <c r="G79" s="28"/>
      <c r="H79" s="37"/>
      <c r="I79" s="37"/>
      <c r="J79" s="37" t="s">
        <v>35</v>
      </c>
      <c r="K79" s="37">
        <v>2</v>
      </c>
      <c r="L79" s="49">
        <f>L81*1.32</f>
        <v>528</v>
      </c>
      <c r="M79" s="50">
        <v>0.23</v>
      </c>
      <c r="N79" s="29">
        <f t="shared" si="9"/>
        <v>649.44000000000005</v>
      </c>
    </row>
    <row r="80" spans="1:14" x14ac:dyDescent="0.25">
      <c r="A80" s="8">
        <v>48</v>
      </c>
      <c r="B80" s="5" t="s">
        <v>46</v>
      </c>
      <c r="C80" s="5" t="s">
        <v>55</v>
      </c>
      <c r="D80" s="5">
        <v>181</v>
      </c>
      <c r="E80" s="6">
        <v>0.23</v>
      </c>
      <c r="F80" s="9">
        <f t="shared" si="8"/>
        <v>222.63</v>
      </c>
      <c r="G80" s="28"/>
      <c r="H80" s="37"/>
      <c r="I80" s="37"/>
      <c r="J80" s="37" t="s">
        <v>35</v>
      </c>
      <c r="K80" s="37">
        <v>3</v>
      </c>
      <c r="L80" s="49">
        <f>L81*1.505</f>
        <v>602</v>
      </c>
      <c r="M80" s="50">
        <v>0.23</v>
      </c>
      <c r="N80" s="29">
        <f t="shared" si="9"/>
        <v>740.46</v>
      </c>
    </row>
    <row r="81" spans="1:14" ht="13.8" thickBot="1" x14ac:dyDescent="0.3">
      <c r="A81" s="10">
        <v>49</v>
      </c>
      <c r="B81" s="11" t="s">
        <v>46</v>
      </c>
      <c r="C81" s="11" t="s">
        <v>66</v>
      </c>
      <c r="D81" s="11">
        <v>251</v>
      </c>
      <c r="E81" s="12">
        <v>0.23</v>
      </c>
      <c r="F81" s="13">
        <f t="shared" si="8"/>
        <v>308.73</v>
      </c>
      <c r="G81" s="28"/>
      <c r="H81" s="37"/>
      <c r="I81" s="37"/>
      <c r="J81" s="37" t="s">
        <v>36</v>
      </c>
      <c r="K81" s="37">
        <v>1</v>
      </c>
      <c r="L81" s="49">
        <v>400</v>
      </c>
      <c r="M81" s="50">
        <v>0.23</v>
      </c>
      <c r="N81" s="29">
        <f>L81+M81*L81</f>
        <v>492</v>
      </c>
    </row>
    <row r="82" spans="1:14" ht="13.8" thickBot="1" x14ac:dyDescent="0.3">
      <c r="G82" s="28"/>
      <c r="H82" s="37"/>
      <c r="I82" s="37"/>
      <c r="J82" s="37" t="s">
        <v>36</v>
      </c>
      <c r="K82" s="37">
        <v>2</v>
      </c>
      <c r="L82" s="49">
        <f>L81*1.106</f>
        <v>442.40000000000003</v>
      </c>
      <c r="M82" s="50">
        <v>0.23</v>
      </c>
      <c r="N82" s="29">
        <f t="shared" ref="N82:N91" si="10">L82+M82*L82</f>
        <v>544.15200000000004</v>
      </c>
    </row>
    <row r="83" spans="1:14" x14ac:dyDescent="0.25">
      <c r="A83" s="88" t="s">
        <v>0</v>
      </c>
      <c r="B83" s="82" t="s">
        <v>8</v>
      </c>
      <c r="C83" s="82" t="s">
        <v>9</v>
      </c>
      <c r="D83" s="82" t="s">
        <v>12</v>
      </c>
      <c r="E83" s="78" t="s">
        <v>10</v>
      </c>
      <c r="F83" s="80" t="s">
        <v>13</v>
      </c>
      <c r="G83" s="28"/>
      <c r="H83" s="37"/>
      <c r="I83" s="37"/>
      <c r="J83" s="37" t="s">
        <v>36</v>
      </c>
      <c r="K83" s="37">
        <v>3</v>
      </c>
      <c r="L83" s="49">
        <f>L81*1.238</f>
        <v>495.2</v>
      </c>
      <c r="M83" s="50">
        <v>0.23</v>
      </c>
      <c r="N83" s="29">
        <f t="shared" si="10"/>
        <v>609.096</v>
      </c>
    </row>
    <row r="84" spans="1:14" ht="13.8" thickBot="1" x14ac:dyDescent="0.3">
      <c r="A84" s="89"/>
      <c r="B84" s="83"/>
      <c r="C84" s="83"/>
      <c r="D84" s="83"/>
      <c r="E84" s="84"/>
      <c r="F84" s="101"/>
      <c r="G84" s="28"/>
      <c r="H84" s="37"/>
      <c r="I84" s="37"/>
      <c r="J84" s="37" t="s">
        <v>37</v>
      </c>
      <c r="K84" s="37">
        <v>1</v>
      </c>
      <c r="L84" s="49">
        <f>L81*0.845</f>
        <v>338</v>
      </c>
      <c r="M84" s="50">
        <v>0.23</v>
      </c>
      <c r="N84" s="29">
        <f t="shared" si="10"/>
        <v>415.74</v>
      </c>
    </row>
    <row r="85" spans="1:14" x14ac:dyDescent="0.25">
      <c r="A85" s="14">
        <v>50</v>
      </c>
      <c r="B85" s="15" t="s">
        <v>20</v>
      </c>
      <c r="C85" s="15" t="s">
        <v>22</v>
      </c>
      <c r="D85" s="15">
        <v>300</v>
      </c>
      <c r="E85" s="16">
        <v>0.23</v>
      </c>
      <c r="F85" s="17">
        <f>D85+E85*D85</f>
        <v>369</v>
      </c>
      <c r="G85" s="28"/>
      <c r="H85" s="37"/>
      <c r="I85" s="37"/>
      <c r="J85" s="37" t="s">
        <v>37</v>
      </c>
      <c r="K85" s="37">
        <v>2</v>
      </c>
      <c r="L85" s="49">
        <f>L81*0.925</f>
        <v>370</v>
      </c>
      <c r="M85" s="50">
        <v>0.23</v>
      </c>
      <c r="N85" s="29">
        <f t="shared" si="10"/>
        <v>455.1</v>
      </c>
    </row>
    <row r="86" spans="1:14" ht="13.8" thickBot="1" x14ac:dyDescent="0.3">
      <c r="A86" s="8">
        <v>51</v>
      </c>
      <c r="B86" s="5" t="s">
        <v>23</v>
      </c>
      <c r="C86" s="5" t="s">
        <v>22</v>
      </c>
      <c r="D86" s="5">
        <v>300</v>
      </c>
      <c r="E86" s="6">
        <v>0.23</v>
      </c>
      <c r="F86" s="9">
        <f>D86+E86*D86</f>
        <v>369</v>
      </c>
      <c r="G86" s="30"/>
      <c r="H86" s="31"/>
      <c r="I86" s="31"/>
      <c r="J86" s="31" t="s">
        <v>37</v>
      </c>
      <c r="K86" s="31">
        <v>3</v>
      </c>
      <c r="L86" s="32">
        <f>L81*1.021</f>
        <v>408.4</v>
      </c>
      <c r="M86" s="33">
        <v>0.23</v>
      </c>
      <c r="N86" s="34">
        <f t="shared" si="10"/>
        <v>502.33199999999999</v>
      </c>
    </row>
    <row r="87" spans="1:14" ht="13.8" thickBot="1" x14ac:dyDescent="0.3">
      <c r="A87" s="10">
        <v>52</v>
      </c>
      <c r="B87" s="11" t="s">
        <v>23</v>
      </c>
      <c r="C87" s="11" t="s">
        <v>25</v>
      </c>
      <c r="D87" s="11">
        <v>350</v>
      </c>
      <c r="E87" s="12">
        <v>0.23</v>
      </c>
      <c r="F87" s="13">
        <f>D87+E87*D87</f>
        <v>430.5</v>
      </c>
      <c r="G87" s="23">
        <v>72</v>
      </c>
      <c r="H87" s="24" t="s">
        <v>30</v>
      </c>
      <c r="I87" s="24" t="s">
        <v>39</v>
      </c>
      <c r="J87" s="24" t="s">
        <v>34</v>
      </c>
      <c r="K87" s="24">
        <v>2</v>
      </c>
      <c r="L87" s="25">
        <f>L92*2.241</f>
        <v>1322.19</v>
      </c>
      <c r="M87" s="26">
        <v>0.23</v>
      </c>
      <c r="N87" s="27">
        <f t="shared" si="10"/>
        <v>1626.2937000000002</v>
      </c>
    </row>
    <row r="88" spans="1:14" ht="13.8" thickBot="1" x14ac:dyDescent="0.3">
      <c r="G88" s="28"/>
      <c r="H88" s="37"/>
      <c r="I88" s="37"/>
      <c r="J88" s="37" t="s">
        <v>34</v>
      </c>
      <c r="K88" s="37">
        <v>3</v>
      </c>
      <c r="L88" s="49">
        <f>L92*2.934</f>
        <v>1731.0600000000002</v>
      </c>
      <c r="M88" s="50">
        <v>0.23</v>
      </c>
      <c r="N88" s="29">
        <f t="shared" si="10"/>
        <v>2129.2038000000002</v>
      </c>
    </row>
    <row r="89" spans="1:14" x14ac:dyDescent="0.25">
      <c r="A89" s="88" t="s">
        <v>0</v>
      </c>
      <c r="B89" s="82" t="s">
        <v>8</v>
      </c>
      <c r="C89" s="82" t="s">
        <v>9</v>
      </c>
      <c r="D89" s="82" t="s">
        <v>12</v>
      </c>
      <c r="E89" s="78" t="s">
        <v>10</v>
      </c>
      <c r="F89" s="80" t="s">
        <v>13</v>
      </c>
      <c r="G89" s="28"/>
      <c r="H89" s="37"/>
      <c r="I89" s="37"/>
      <c r="J89" s="37" t="s">
        <v>35</v>
      </c>
      <c r="K89" s="37">
        <v>1</v>
      </c>
      <c r="L89" s="49">
        <f>L92*1.464</f>
        <v>863.76</v>
      </c>
      <c r="M89" s="50">
        <v>0.23</v>
      </c>
      <c r="N89" s="29">
        <f t="shared" si="10"/>
        <v>1062.4248</v>
      </c>
    </row>
    <row r="90" spans="1:14" ht="13.8" thickBot="1" x14ac:dyDescent="0.3">
      <c r="A90" s="92"/>
      <c r="B90" s="93"/>
      <c r="C90" s="93"/>
      <c r="D90" s="93"/>
      <c r="E90" s="79"/>
      <c r="F90" s="81"/>
      <c r="G90" s="28"/>
      <c r="H90" s="37"/>
      <c r="I90" s="37"/>
      <c r="J90" s="37" t="s">
        <v>35</v>
      </c>
      <c r="K90" s="37">
        <v>2</v>
      </c>
      <c r="L90" s="49">
        <f>L92*1.747</f>
        <v>1030.73</v>
      </c>
      <c r="M90" s="50">
        <v>0.23</v>
      </c>
      <c r="N90" s="29">
        <f t="shared" si="10"/>
        <v>1267.7979</v>
      </c>
    </row>
    <row r="91" spans="1:14" x14ac:dyDescent="0.25">
      <c r="A91" s="7">
        <v>53</v>
      </c>
      <c r="B91" s="36" t="s">
        <v>28</v>
      </c>
      <c r="C91" s="41" t="s">
        <v>16</v>
      </c>
      <c r="D91" s="41">
        <v>200</v>
      </c>
      <c r="E91" s="42">
        <v>0.23</v>
      </c>
      <c r="F91" s="43">
        <f t="shared" ref="F91:F103" si="11">D91+E91*D91</f>
        <v>246</v>
      </c>
      <c r="G91" s="28"/>
      <c r="H91" s="37"/>
      <c r="I91" s="37"/>
      <c r="J91" s="37" t="s">
        <v>35</v>
      </c>
      <c r="K91" s="37">
        <v>3</v>
      </c>
      <c r="L91" s="49">
        <f>L92*2.103</f>
        <v>1240.7700000000002</v>
      </c>
      <c r="M91" s="50">
        <v>0.23</v>
      </c>
      <c r="N91" s="29">
        <f t="shared" si="10"/>
        <v>1526.1471000000001</v>
      </c>
    </row>
    <row r="92" spans="1:14" x14ac:dyDescent="0.25">
      <c r="A92" s="8">
        <v>54</v>
      </c>
      <c r="B92" s="5" t="s">
        <v>28</v>
      </c>
      <c r="C92" s="18" t="s">
        <v>18</v>
      </c>
      <c r="D92" s="18">
        <v>220</v>
      </c>
      <c r="E92" s="6">
        <v>0.23</v>
      </c>
      <c r="F92" s="9">
        <f t="shared" si="11"/>
        <v>270.60000000000002</v>
      </c>
      <c r="G92" s="28"/>
      <c r="H92" s="37"/>
      <c r="I92" s="37"/>
      <c r="J92" s="37" t="s">
        <v>36</v>
      </c>
      <c r="K92" s="37">
        <v>1</v>
      </c>
      <c r="L92" s="49">
        <v>590</v>
      </c>
      <c r="M92" s="50">
        <v>0.23</v>
      </c>
      <c r="N92" s="29">
        <f>L92+M92*L92</f>
        <v>725.7</v>
      </c>
    </row>
    <row r="93" spans="1:14" x14ac:dyDescent="0.25">
      <c r="A93" s="8">
        <v>55</v>
      </c>
      <c r="B93" s="5" t="s">
        <v>28</v>
      </c>
      <c r="C93" s="5" t="s">
        <v>49</v>
      </c>
      <c r="D93" s="5">
        <v>328</v>
      </c>
      <c r="E93" s="6">
        <v>0.23</v>
      </c>
      <c r="F93" s="9">
        <f t="shared" si="11"/>
        <v>403.44</v>
      </c>
      <c r="G93" s="28"/>
      <c r="H93" s="37"/>
      <c r="I93" s="37"/>
      <c r="J93" s="37" t="s">
        <v>36</v>
      </c>
      <c r="K93" s="37">
        <v>2</v>
      </c>
      <c r="L93" s="49">
        <f>L92*1.266</f>
        <v>746.94</v>
      </c>
      <c r="M93" s="50">
        <v>0.23</v>
      </c>
      <c r="N93" s="29">
        <f t="shared" ref="N93:N102" si="12">L93+M93*L93</f>
        <v>918.73620000000005</v>
      </c>
    </row>
    <row r="94" spans="1:14" x14ac:dyDescent="0.25">
      <c r="A94" s="8">
        <v>56</v>
      </c>
      <c r="B94" s="5" t="s">
        <v>28</v>
      </c>
      <c r="C94" s="5" t="s">
        <v>50</v>
      </c>
      <c r="D94" s="5">
        <v>340</v>
      </c>
      <c r="E94" s="6">
        <v>0.23</v>
      </c>
      <c r="F94" s="9">
        <f t="shared" si="11"/>
        <v>418.2</v>
      </c>
      <c r="G94" s="28"/>
      <c r="H94" s="37"/>
      <c r="I94" s="37"/>
      <c r="J94" s="37" t="s">
        <v>36</v>
      </c>
      <c r="K94" s="37">
        <v>3</v>
      </c>
      <c r="L94" s="49">
        <f>L92*1.507</f>
        <v>889.12999999999988</v>
      </c>
      <c r="M94" s="50">
        <v>0.23</v>
      </c>
      <c r="N94" s="29">
        <f t="shared" si="12"/>
        <v>1093.6298999999999</v>
      </c>
    </row>
    <row r="95" spans="1:14" x14ac:dyDescent="0.25">
      <c r="A95" s="8">
        <v>57</v>
      </c>
      <c r="B95" s="5" t="s">
        <v>28</v>
      </c>
      <c r="C95" s="5" t="s">
        <v>5</v>
      </c>
      <c r="D95" s="5">
        <v>800</v>
      </c>
      <c r="E95" s="6">
        <v>0.23</v>
      </c>
      <c r="F95" s="9">
        <f t="shared" si="11"/>
        <v>984</v>
      </c>
      <c r="G95" s="28"/>
      <c r="H95" s="37"/>
      <c r="I95" s="37"/>
      <c r="J95" s="37" t="s">
        <v>37</v>
      </c>
      <c r="K95" s="37">
        <v>1</v>
      </c>
      <c r="L95" s="49">
        <f>L92*0.681</f>
        <v>401.79</v>
      </c>
      <c r="M95" s="50">
        <v>0.23</v>
      </c>
      <c r="N95" s="29">
        <f t="shared" si="12"/>
        <v>494.20170000000002</v>
      </c>
    </row>
    <row r="96" spans="1:14" x14ac:dyDescent="0.25">
      <c r="A96" s="8">
        <v>58</v>
      </c>
      <c r="B96" s="5" t="s">
        <v>28</v>
      </c>
      <c r="C96" s="5" t="s">
        <v>6</v>
      </c>
      <c r="D96" s="5">
        <v>340</v>
      </c>
      <c r="E96" s="6">
        <v>0.23</v>
      </c>
      <c r="F96" s="9">
        <f t="shared" si="11"/>
        <v>418.2</v>
      </c>
      <c r="G96" s="28"/>
      <c r="H96" s="37"/>
      <c r="I96" s="37"/>
      <c r="J96" s="37" t="s">
        <v>37</v>
      </c>
      <c r="K96" s="37">
        <v>2</v>
      </c>
      <c r="L96" s="49">
        <f>L92*0.855</f>
        <v>504.45</v>
      </c>
      <c r="M96" s="50">
        <v>0.23</v>
      </c>
      <c r="N96" s="29">
        <f t="shared" si="12"/>
        <v>620.47349999999994</v>
      </c>
    </row>
    <row r="97" spans="1:14" ht="13.8" thickBot="1" x14ac:dyDescent="0.3">
      <c r="A97" s="8">
        <v>59</v>
      </c>
      <c r="B97" s="5" t="s">
        <v>28</v>
      </c>
      <c r="C97" s="5" t="s">
        <v>29</v>
      </c>
      <c r="D97" s="5">
        <v>375</v>
      </c>
      <c r="E97" s="6">
        <v>0.23</v>
      </c>
      <c r="F97" s="9">
        <f t="shared" si="11"/>
        <v>461.25</v>
      </c>
      <c r="G97" s="30"/>
      <c r="H97" s="31"/>
      <c r="I97" s="31"/>
      <c r="J97" s="31" t="s">
        <v>37</v>
      </c>
      <c r="K97" s="31">
        <v>3</v>
      </c>
      <c r="L97" s="32">
        <f>L92*1.034</f>
        <v>610.06000000000006</v>
      </c>
      <c r="M97" s="33">
        <v>0.23</v>
      </c>
      <c r="N97" s="34">
        <f t="shared" si="12"/>
        <v>750.37380000000007</v>
      </c>
    </row>
    <row r="98" spans="1:14" x14ac:dyDescent="0.25">
      <c r="A98" s="8">
        <v>60</v>
      </c>
      <c r="B98" s="5" t="s">
        <v>28</v>
      </c>
      <c r="C98" s="5" t="s">
        <v>39</v>
      </c>
      <c r="D98" s="5">
        <v>400</v>
      </c>
      <c r="E98" s="6">
        <v>0.23</v>
      </c>
      <c r="F98" s="9">
        <f t="shared" si="11"/>
        <v>492</v>
      </c>
      <c r="G98" s="23">
        <v>73</v>
      </c>
      <c r="H98" s="24" t="s">
        <v>30</v>
      </c>
      <c r="I98" s="35" t="s">
        <v>67</v>
      </c>
      <c r="J98" s="24" t="s">
        <v>34</v>
      </c>
      <c r="K98" s="24">
        <v>2</v>
      </c>
      <c r="L98" s="25">
        <f>L103*2</f>
        <v>800</v>
      </c>
      <c r="M98" s="26">
        <v>0.23</v>
      </c>
      <c r="N98" s="27">
        <f t="shared" si="12"/>
        <v>984</v>
      </c>
    </row>
    <row r="99" spans="1:14" x14ac:dyDescent="0.25">
      <c r="A99" s="8">
        <v>61</v>
      </c>
      <c r="B99" s="5" t="s">
        <v>28</v>
      </c>
      <c r="C99" s="5" t="s">
        <v>57</v>
      </c>
      <c r="D99" s="5">
        <v>328</v>
      </c>
      <c r="E99" s="6">
        <v>0.23</v>
      </c>
      <c r="F99" s="9">
        <f t="shared" si="11"/>
        <v>403.44</v>
      </c>
      <c r="G99" s="28"/>
      <c r="H99" s="37"/>
      <c r="I99" s="37"/>
      <c r="J99" s="37" t="s">
        <v>34</v>
      </c>
      <c r="K99" s="37">
        <v>3</v>
      </c>
      <c r="L99" s="49">
        <f>L103*2.25</f>
        <v>900</v>
      </c>
      <c r="M99" s="50">
        <v>0.23</v>
      </c>
      <c r="N99" s="29">
        <f t="shared" si="12"/>
        <v>1107</v>
      </c>
    </row>
    <row r="100" spans="1:14" x14ac:dyDescent="0.25">
      <c r="A100" s="8">
        <v>62</v>
      </c>
      <c r="B100" s="5" t="s">
        <v>28</v>
      </c>
      <c r="C100" s="5" t="s">
        <v>27</v>
      </c>
      <c r="D100" s="5">
        <v>375</v>
      </c>
      <c r="E100" s="6">
        <v>0.23</v>
      </c>
      <c r="F100" s="9">
        <f t="shared" si="11"/>
        <v>461.25</v>
      </c>
      <c r="G100" s="28"/>
      <c r="H100" s="37"/>
      <c r="I100" s="37"/>
      <c r="J100" s="37" t="s">
        <v>35</v>
      </c>
      <c r="K100" s="37">
        <v>1</v>
      </c>
      <c r="L100" s="49">
        <f>L103*1.15</f>
        <v>459.99999999999994</v>
      </c>
      <c r="M100" s="50">
        <v>0.23</v>
      </c>
      <c r="N100" s="29">
        <f t="shared" si="12"/>
        <v>565.79999999999995</v>
      </c>
    </row>
    <row r="101" spans="1:14" x14ac:dyDescent="0.25">
      <c r="A101" s="8">
        <v>63</v>
      </c>
      <c r="B101" s="5" t="s">
        <v>28</v>
      </c>
      <c r="C101" s="5" t="s">
        <v>17</v>
      </c>
      <c r="D101" s="5">
        <v>328</v>
      </c>
      <c r="E101" s="6">
        <v>0.23</v>
      </c>
      <c r="F101" s="9">
        <f t="shared" si="11"/>
        <v>403.44</v>
      </c>
      <c r="G101" s="28"/>
      <c r="H101" s="37"/>
      <c r="I101" s="37"/>
      <c r="J101" s="37" t="s">
        <v>35</v>
      </c>
      <c r="K101" s="37">
        <v>2</v>
      </c>
      <c r="L101" s="49">
        <f>L103*1.492</f>
        <v>596.79999999999995</v>
      </c>
      <c r="M101" s="50">
        <v>0.23</v>
      </c>
      <c r="N101" s="29">
        <f t="shared" si="12"/>
        <v>734.06399999999996</v>
      </c>
    </row>
    <row r="102" spans="1:14" x14ac:dyDescent="0.25">
      <c r="A102" s="8">
        <v>64</v>
      </c>
      <c r="B102" s="5" t="s">
        <v>28</v>
      </c>
      <c r="C102" s="5" t="s">
        <v>40</v>
      </c>
      <c r="D102" s="5">
        <v>375</v>
      </c>
      <c r="E102" s="6">
        <v>0.23</v>
      </c>
      <c r="F102" s="9">
        <f t="shared" si="11"/>
        <v>461.25</v>
      </c>
      <c r="G102" s="28"/>
      <c r="H102" s="37"/>
      <c r="I102" s="37"/>
      <c r="J102" s="37" t="s">
        <v>35</v>
      </c>
      <c r="K102" s="37">
        <v>3</v>
      </c>
      <c r="L102" s="49">
        <f>L103*1.872</f>
        <v>748.80000000000007</v>
      </c>
      <c r="M102" s="50">
        <v>0.23</v>
      </c>
      <c r="N102" s="29">
        <f t="shared" si="12"/>
        <v>921.02400000000011</v>
      </c>
    </row>
    <row r="103" spans="1:14" ht="13.8" thickBot="1" x14ac:dyDescent="0.3">
      <c r="A103" s="10">
        <v>65</v>
      </c>
      <c r="B103" s="11" t="s">
        <v>28</v>
      </c>
      <c r="C103" s="11" t="s">
        <v>41</v>
      </c>
      <c r="D103" s="11">
        <v>375</v>
      </c>
      <c r="E103" s="12">
        <v>0.23</v>
      </c>
      <c r="F103" s="13">
        <f t="shared" si="11"/>
        <v>461.25</v>
      </c>
      <c r="G103" s="28"/>
      <c r="H103" s="37"/>
      <c r="I103" s="37"/>
      <c r="J103" s="37" t="s">
        <v>36</v>
      </c>
      <c r="K103" s="37">
        <v>1</v>
      </c>
      <c r="L103" s="49">
        <v>400</v>
      </c>
      <c r="M103" s="50">
        <v>0.23</v>
      </c>
      <c r="N103" s="29">
        <f t="shared" ref="N103:N108" si="13">L103+M103*L103</f>
        <v>492</v>
      </c>
    </row>
    <row r="104" spans="1:14" x14ac:dyDescent="0.25">
      <c r="G104" s="28"/>
      <c r="H104" s="37"/>
      <c r="I104" s="37"/>
      <c r="J104" s="37" t="s">
        <v>36</v>
      </c>
      <c r="K104" s="37">
        <v>2</v>
      </c>
      <c r="L104" s="49">
        <f>L103*1.185</f>
        <v>474</v>
      </c>
      <c r="M104" s="50">
        <v>0.23</v>
      </c>
      <c r="N104" s="29">
        <f t="shared" si="13"/>
        <v>583.02</v>
      </c>
    </row>
    <row r="105" spans="1:14" x14ac:dyDescent="0.25">
      <c r="G105" s="28"/>
      <c r="H105" s="37"/>
      <c r="I105" s="37"/>
      <c r="J105" s="37" t="s">
        <v>36</v>
      </c>
      <c r="K105" s="37">
        <v>3</v>
      </c>
      <c r="L105" s="49">
        <f>L103*1.456</f>
        <v>582.4</v>
      </c>
      <c r="M105" s="50">
        <v>0.23</v>
      </c>
      <c r="N105" s="29">
        <f t="shared" si="13"/>
        <v>716.35199999999998</v>
      </c>
    </row>
    <row r="106" spans="1:14" x14ac:dyDescent="0.25">
      <c r="G106" s="28"/>
      <c r="H106" s="37"/>
      <c r="I106" s="37"/>
      <c r="J106" s="37" t="s">
        <v>37</v>
      </c>
      <c r="K106" s="37">
        <v>1</v>
      </c>
      <c r="L106" s="49">
        <f>L103*0.82</f>
        <v>328</v>
      </c>
      <c r="M106" s="50">
        <v>0.23</v>
      </c>
      <c r="N106" s="29">
        <f t="shared" si="13"/>
        <v>403.44</v>
      </c>
    </row>
    <row r="107" spans="1:14" x14ac:dyDescent="0.25">
      <c r="G107" s="28"/>
      <c r="H107" s="37"/>
      <c r="I107" s="37"/>
      <c r="J107" s="37" t="s">
        <v>37</v>
      </c>
      <c r="K107" s="37">
        <v>2</v>
      </c>
      <c r="L107" s="49">
        <f>L103*0.98</f>
        <v>392</v>
      </c>
      <c r="M107" s="50">
        <v>0.23</v>
      </c>
      <c r="N107" s="29">
        <f t="shared" si="13"/>
        <v>482.16</v>
      </c>
    </row>
    <row r="108" spans="1:14" ht="13.8" thickBot="1" x14ac:dyDescent="0.3">
      <c r="G108" s="30"/>
      <c r="H108" s="31"/>
      <c r="I108" s="31"/>
      <c r="J108" s="31" t="s">
        <v>37</v>
      </c>
      <c r="K108" s="31">
        <v>3</v>
      </c>
      <c r="L108" s="32">
        <f>L103*1.186</f>
        <v>474.4</v>
      </c>
      <c r="M108" s="33">
        <v>0.23</v>
      </c>
      <c r="N108" s="34">
        <f t="shared" si="13"/>
        <v>583.51199999999994</v>
      </c>
    </row>
    <row r="114" spans="7:14" ht="12.75" customHeight="1" x14ac:dyDescent="0.25">
      <c r="G114" s="65" t="s">
        <v>68</v>
      </c>
      <c r="H114" s="65"/>
      <c r="I114" s="65"/>
      <c r="J114" s="65"/>
      <c r="K114" s="65"/>
      <c r="L114" s="65"/>
      <c r="M114" s="65"/>
      <c r="N114" s="65"/>
    </row>
    <row r="115" spans="7:14" x14ac:dyDescent="0.25">
      <c r="G115" s="65"/>
      <c r="H115" s="65"/>
      <c r="I115" s="65"/>
      <c r="J115" s="65"/>
      <c r="K115" s="65"/>
      <c r="L115" s="65"/>
      <c r="M115" s="65"/>
      <c r="N115" s="65"/>
    </row>
    <row r="116" spans="7:14" x14ac:dyDescent="0.25">
      <c r="G116" s="65"/>
      <c r="H116" s="65"/>
      <c r="I116" s="65"/>
      <c r="J116" s="65"/>
      <c r="K116" s="65"/>
      <c r="L116" s="65"/>
      <c r="M116" s="65"/>
      <c r="N116" s="65"/>
    </row>
    <row r="117" spans="7:14" x14ac:dyDescent="0.25">
      <c r="G117" s="65"/>
      <c r="H117" s="65"/>
      <c r="I117" s="65"/>
      <c r="J117" s="65"/>
      <c r="K117" s="65"/>
      <c r="L117" s="65"/>
      <c r="M117" s="65"/>
      <c r="N117" s="65"/>
    </row>
    <row r="118" spans="7:14" ht="30.75" customHeight="1" x14ac:dyDescent="0.25">
      <c r="G118" s="65"/>
      <c r="H118" s="65"/>
      <c r="I118" s="65"/>
      <c r="J118" s="65"/>
      <c r="K118" s="65"/>
      <c r="L118" s="65"/>
      <c r="M118" s="65"/>
      <c r="N118" s="65"/>
    </row>
    <row r="119" spans="7:14" ht="13.8" thickBot="1" x14ac:dyDescent="0.3"/>
    <row r="120" spans="7:14" x14ac:dyDescent="0.25">
      <c r="G120" s="66" t="s">
        <v>0</v>
      </c>
      <c r="H120" s="68" t="s">
        <v>8</v>
      </c>
      <c r="I120" s="68" t="s">
        <v>9</v>
      </c>
      <c r="J120" s="68" t="s">
        <v>33</v>
      </c>
      <c r="K120" s="68" t="s">
        <v>32</v>
      </c>
      <c r="L120" s="70" t="s">
        <v>12</v>
      </c>
      <c r="M120" s="72" t="s">
        <v>10</v>
      </c>
      <c r="N120" s="74" t="s">
        <v>13</v>
      </c>
    </row>
    <row r="121" spans="7:14" ht="13.8" thickBot="1" x14ac:dyDescent="0.3">
      <c r="G121" s="67"/>
      <c r="H121" s="69"/>
      <c r="I121" s="69"/>
      <c r="J121" s="69"/>
      <c r="K121" s="69"/>
      <c r="L121" s="71"/>
      <c r="M121" s="73"/>
      <c r="N121" s="75"/>
    </row>
    <row r="122" spans="7:14" x14ac:dyDescent="0.25">
      <c r="G122" s="23">
        <v>74</v>
      </c>
      <c r="H122" s="24" t="s">
        <v>30</v>
      </c>
      <c r="I122" s="24" t="s">
        <v>16</v>
      </c>
      <c r="J122" s="24" t="s">
        <v>34</v>
      </c>
      <c r="K122" s="24">
        <v>2</v>
      </c>
      <c r="L122" s="25">
        <f>L127*2</f>
        <v>520</v>
      </c>
      <c r="M122" s="26">
        <v>0.23</v>
      </c>
      <c r="N122" s="27">
        <f t="shared" ref="N122:N127" si="14">L122+M122*L122</f>
        <v>639.6</v>
      </c>
    </row>
    <row r="123" spans="7:14" x14ac:dyDescent="0.25">
      <c r="G123" s="28"/>
      <c r="H123" s="37"/>
      <c r="I123" s="37"/>
      <c r="J123" s="37" t="s">
        <v>34</v>
      </c>
      <c r="K123" s="37">
        <v>3</v>
      </c>
      <c r="L123" s="49">
        <f>L127*2.424</f>
        <v>630.24</v>
      </c>
      <c r="M123" s="50">
        <v>0.23</v>
      </c>
      <c r="N123" s="29">
        <f t="shared" si="14"/>
        <v>775.1952</v>
      </c>
    </row>
    <row r="124" spans="7:14" x14ac:dyDescent="0.25">
      <c r="G124" s="28"/>
      <c r="H124" s="37"/>
      <c r="I124" s="37"/>
      <c r="J124" s="37" t="s">
        <v>35</v>
      </c>
      <c r="K124" s="37">
        <v>1</v>
      </c>
      <c r="L124" s="49">
        <f>L127*1.19</f>
        <v>309.39999999999998</v>
      </c>
      <c r="M124" s="50">
        <v>0.23</v>
      </c>
      <c r="N124" s="29">
        <f t="shared" si="14"/>
        <v>380.56199999999995</v>
      </c>
    </row>
    <row r="125" spans="7:14" x14ac:dyDescent="0.25">
      <c r="G125" s="28"/>
      <c r="H125" s="37"/>
      <c r="I125" s="37"/>
      <c r="J125" s="37" t="s">
        <v>35</v>
      </c>
      <c r="K125" s="37">
        <v>2</v>
      </c>
      <c r="L125" s="49">
        <f>L127*1.529</f>
        <v>397.53999999999996</v>
      </c>
      <c r="M125" s="50">
        <v>0.23</v>
      </c>
      <c r="N125" s="29">
        <f t="shared" si="14"/>
        <v>488.97419999999994</v>
      </c>
    </row>
    <row r="126" spans="7:14" x14ac:dyDescent="0.25">
      <c r="G126" s="28"/>
      <c r="H126" s="37"/>
      <c r="I126" s="37"/>
      <c r="J126" s="37" t="s">
        <v>35</v>
      </c>
      <c r="K126" s="37">
        <v>3</v>
      </c>
      <c r="L126" s="49">
        <f>L127*1.75</f>
        <v>455</v>
      </c>
      <c r="M126" s="50">
        <v>0.23</v>
      </c>
      <c r="N126" s="29">
        <f t="shared" si="14"/>
        <v>559.65</v>
      </c>
    </row>
    <row r="127" spans="7:14" x14ac:dyDescent="0.25">
      <c r="G127" s="28"/>
      <c r="H127" s="37"/>
      <c r="I127" s="37"/>
      <c r="J127" s="37" t="s">
        <v>36</v>
      </c>
      <c r="K127" s="37">
        <v>1</v>
      </c>
      <c r="L127" s="49">
        <v>260</v>
      </c>
      <c r="M127" s="50">
        <v>0.23</v>
      </c>
      <c r="N127" s="29">
        <f t="shared" si="14"/>
        <v>319.8</v>
      </c>
    </row>
    <row r="128" spans="7:14" x14ac:dyDescent="0.25">
      <c r="G128" s="28"/>
      <c r="H128" s="37"/>
      <c r="I128" s="37"/>
      <c r="J128" s="37" t="s">
        <v>36</v>
      </c>
      <c r="K128" s="37">
        <v>2</v>
      </c>
      <c r="L128" s="49">
        <f>L127*1.162</f>
        <v>302.12</v>
      </c>
      <c r="M128" s="50">
        <v>0.23</v>
      </c>
      <c r="N128" s="29">
        <f t="shared" ref="N128:N137" si="15">L128+M128*L128</f>
        <v>371.60759999999999</v>
      </c>
    </row>
    <row r="129" spans="7:14" x14ac:dyDescent="0.25">
      <c r="G129" s="28"/>
      <c r="H129" s="37"/>
      <c r="I129" s="37"/>
      <c r="J129" s="37" t="s">
        <v>36</v>
      </c>
      <c r="K129" s="37">
        <v>3</v>
      </c>
      <c r="L129" s="49">
        <f>L127*1.378</f>
        <v>358.28</v>
      </c>
      <c r="M129" s="50">
        <v>0.23</v>
      </c>
      <c r="N129" s="29">
        <f t="shared" si="15"/>
        <v>440.68439999999998</v>
      </c>
    </row>
    <row r="130" spans="7:14" x14ac:dyDescent="0.25">
      <c r="G130" s="28"/>
      <c r="H130" s="37"/>
      <c r="I130" s="37"/>
      <c r="J130" s="37" t="s">
        <v>37</v>
      </c>
      <c r="K130" s="37">
        <v>1</v>
      </c>
      <c r="L130" s="49">
        <f>L127*0.904</f>
        <v>235.04000000000002</v>
      </c>
      <c r="M130" s="50">
        <v>0.23</v>
      </c>
      <c r="N130" s="29">
        <f t="shared" si="15"/>
        <v>289.0992</v>
      </c>
    </row>
    <row r="131" spans="7:14" x14ac:dyDescent="0.25">
      <c r="G131" s="28"/>
      <c r="H131" s="37"/>
      <c r="I131" s="37"/>
      <c r="J131" s="37" t="s">
        <v>37</v>
      </c>
      <c r="K131" s="37">
        <v>2</v>
      </c>
      <c r="L131" s="49">
        <f>L127*1.005</f>
        <v>261.29999999999995</v>
      </c>
      <c r="M131" s="50">
        <v>0.23</v>
      </c>
      <c r="N131" s="29">
        <f t="shared" si="15"/>
        <v>321.39899999999994</v>
      </c>
    </row>
    <row r="132" spans="7:14" ht="13.8" thickBot="1" x14ac:dyDescent="0.3">
      <c r="G132" s="30"/>
      <c r="H132" s="31"/>
      <c r="I132" s="31"/>
      <c r="J132" s="31" t="s">
        <v>37</v>
      </c>
      <c r="K132" s="31">
        <v>3</v>
      </c>
      <c r="L132" s="32">
        <f>L127*1.131</f>
        <v>294.06</v>
      </c>
      <c r="M132" s="33">
        <v>0.23</v>
      </c>
      <c r="N132" s="34">
        <f t="shared" si="15"/>
        <v>361.69380000000001</v>
      </c>
    </row>
    <row r="133" spans="7:14" x14ac:dyDescent="0.25">
      <c r="G133" s="23">
        <v>75</v>
      </c>
      <c r="H133" s="24" t="s">
        <v>30</v>
      </c>
      <c r="I133" s="24" t="s">
        <v>17</v>
      </c>
      <c r="J133" s="24" t="s">
        <v>34</v>
      </c>
      <c r="K133" s="24">
        <v>2</v>
      </c>
      <c r="L133" s="25">
        <f>L138*1.99</f>
        <v>895.5</v>
      </c>
      <c r="M133" s="26">
        <v>0.23</v>
      </c>
      <c r="N133" s="27">
        <f t="shared" si="15"/>
        <v>1101.4649999999999</v>
      </c>
    </row>
    <row r="134" spans="7:14" x14ac:dyDescent="0.25">
      <c r="G134" s="28"/>
      <c r="H134" s="37"/>
      <c r="I134" s="37"/>
      <c r="J134" s="37" t="s">
        <v>34</v>
      </c>
      <c r="K134" s="37">
        <v>3</v>
      </c>
      <c r="L134" s="49">
        <f>L138*2.228</f>
        <v>1002.6000000000001</v>
      </c>
      <c r="M134" s="50">
        <v>0.23</v>
      </c>
      <c r="N134" s="29">
        <f t="shared" si="15"/>
        <v>1233.1980000000001</v>
      </c>
    </row>
    <row r="135" spans="7:14" x14ac:dyDescent="0.25">
      <c r="G135" s="28"/>
      <c r="H135" s="37"/>
      <c r="I135" s="37"/>
      <c r="J135" s="37" t="s">
        <v>35</v>
      </c>
      <c r="K135" s="37">
        <v>1</v>
      </c>
      <c r="L135" s="49">
        <f>L138*1.21</f>
        <v>544.5</v>
      </c>
      <c r="M135" s="50">
        <v>0.23</v>
      </c>
      <c r="N135" s="29">
        <f t="shared" si="15"/>
        <v>669.73500000000001</v>
      </c>
    </row>
    <row r="136" spans="7:14" x14ac:dyDescent="0.25">
      <c r="G136" s="28"/>
      <c r="H136" s="37"/>
      <c r="I136" s="37"/>
      <c r="J136" s="37" t="s">
        <v>35</v>
      </c>
      <c r="K136" s="37">
        <v>2</v>
      </c>
      <c r="L136" s="49">
        <f>L138*1.429</f>
        <v>643.05000000000007</v>
      </c>
      <c r="M136" s="50">
        <v>0.23</v>
      </c>
      <c r="N136" s="29">
        <f t="shared" si="15"/>
        <v>790.95150000000012</v>
      </c>
    </row>
    <row r="137" spans="7:14" x14ac:dyDescent="0.25">
      <c r="G137" s="28"/>
      <c r="H137" s="37"/>
      <c r="I137" s="37"/>
      <c r="J137" s="37" t="s">
        <v>35</v>
      </c>
      <c r="K137" s="37">
        <v>3</v>
      </c>
      <c r="L137" s="49">
        <f>L138*1.706</f>
        <v>767.69999999999993</v>
      </c>
      <c r="M137" s="50">
        <v>0.23</v>
      </c>
      <c r="N137" s="29">
        <f t="shared" si="15"/>
        <v>944.27099999999996</v>
      </c>
    </row>
    <row r="138" spans="7:14" x14ac:dyDescent="0.25">
      <c r="G138" s="28"/>
      <c r="H138" s="37"/>
      <c r="I138" s="37"/>
      <c r="J138" s="37" t="s">
        <v>36</v>
      </c>
      <c r="K138" s="37">
        <v>1</v>
      </c>
      <c r="L138" s="49">
        <v>450</v>
      </c>
      <c r="M138" s="50">
        <v>0.23</v>
      </c>
      <c r="N138" s="29">
        <f>L138+M138*L138</f>
        <v>553.5</v>
      </c>
    </row>
    <row r="139" spans="7:14" x14ac:dyDescent="0.25">
      <c r="G139" s="28"/>
      <c r="H139" s="37"/>
      <c r="I139" s="37"/>
      <c r="J139" s="37" t="s">
        <v>36</v>
      </c>
      <c r="K139" s="37">
        <v>2</v>
      </c>
      <c r="L139" s="49">
        <f>L138*1.149</f>
        <v>517.04999999999995</v>
      </c>
      <c r="M139" s="50">
        <v>0.23</v>
      </c>
      <c r="N139" s="29">
        <f t="shared" ref="N139:N148" si="16">L139+M139*L139</f>
        <v>635.97149999999999</v>
      </c>
    </row>
    <row r="140" spans="7:14" x14ac:dyDescent="0.25">
      <c r="G140" s="28"/>
      <c r="H140" s="37"/>
      <c r="I140" s="37"/>
      <c r="J140" s="37" t="s">
        <v>36</v>
      </c>
      <c r="K140" s="37">
        <v>3</v>
      </c>
      <c r="L140" s="49">
        <f>L138*1.336</f>
        <v>601.20000000000005</v>
      </c>
      <c r="M140" s="50">
        <v>0.23</v>
      </c>
      <c r="N140" s="29">
        <f t="shared" si="16"/>
        <v>739.47600000000011</v>
      </c>
    </row>
    <row r="141" spans="7:14" x14ac:dyDescent="0.25">
      <c r="G141" s="28"/>
      <c r="H141" s="37"/>
      <c r="I141" s="37"/>
      <c r="J141" s="37" t="s">
        <v>37</v>
      </c>
      <c r="K141" s="37">
        <v>1</v>
      </c>
      <c r="L141" s="49">
        <f>L138*0.849</f>
        <v>382.05</v>
      </c>
      <c r="M141" s="50">
        <v>0.23</v>
      </c>
      <c r="N141" s="29">
        <f t="shared" si="16"/>
        <v>469.92150000000004</v>
      </c>
    </row>
    <row r="142" spans="7:14" x14ac:dyDescent="0.25">
      <c r="G142" s="28"/>
      <c r="H142" s="37"/>
      <c r="I142" s="37"/>
      <c r="J142" s="37" t="s">
        <v>37</v>
      </c>
      <c r="K142" s="37">
        <v>2</v>
      </c>
      <c r="L142" s="49">
        <f>L138*0.957</f>
        <v>430.65</v>
      </c>
      <c r="M142" s="50">
        <v>0.23</v>
      </c>
      <c r="N142" s="29">
        <f t="shared" si="16"/>
        <v>529.69949999999994</v>
      </c>
    </row>
    <row r="143" spans="7:14" ht="13.8" thickBot="1" x14ac:dyDescent="0.3">
      <c r="G143" s="30"/>
      <c r="H143" s="31"/>
      <c r="I143" s="31"/>
      <c r="J143" s="31" t="s">
        <v>37</v>
      </c>
      <c r="K143" s="31">
        <v>3</v>
      </c>
      <c r="L143" s="32">
        <f>L138*1.075</f>
        <v>483.75</v>
      </c>
      <c r="M143" s="33">
        <v>0.23</v>
      </c>
      <c r="N143" s="34">
        <f t="shared" si="16"/>
        <v>595.01250000000005</v>
      </c>
    </row>
    <row r="144" spans="7:14" x14ac:dyDescent="0.25">
      <c r="G144" s="23">
        <v>76</v>
      </c>
      <c r="H144" s="24" t="s">
        <v>30</v>
      </c>
      <c r="I144" s="24" t="s">
        <v>7</v>
      </c>
      <c r="J144" s="24" t="s">
        <v>34</v>
      </c>
      <c r="K144" s="24">
        <v>2</v>
      </c>
      <c r="L144" s="25">
        <f>L149*1.601</f>
        <v>560.35</v>
      </c>
      <c r="M144" s="26">
        <v>0.23</v>
      </c>
      <c r="N144" s="27">
        <f t="shared" si="16"/>
        <v>689.23050000000001</v>
      </c>
    </row>
    <row r="145" spans="7:14" x14ac:dyDescent="0.25">
      <c r="G145" s="28"/>
      <c r="H145" s="37"/>
      <c r="I145" s="37"/>
      <c r="J145" s="37" t="s">
        <v>34</v>
      </c>
      <c r="K145" s="37">
        <v>3</v>
      </c>
      <c r="L145" s="49">
        <f>L149*1.674</f>
        <v>585.9</v>
      </c>
      <c r="M145" s="50">
        <v>0.23</v>
      </c>
      <c r="N145" s="29">
        <f t="shared" si="16"/>
        <v>720.65699999999993</v>
      </c>
    </row>
    <row r="146" spans="7:14" x14ac:dyDescent="0.25">
      <c r="G146" s="28"/>
      <c r="H146" s="37"/>
      <c r="I146" s="37"/>
      <c r="J146" s="37" t="s">
        <v>35</v>
      </c>
      <c r="K146" s="37">
        <v>1</v>
      </c>
      <c r="L146" s="49">
        <f>L149*1.162</f>
        <v>406.7</v>
      </c>
      <c r="M146" s="50">
        <v>0.23</v>
      </c>
      <c r="N146" s="29">
        <f t="shared" si="16"/>
        <v>500.24099999999999</v>
      </c>
    </row>
    <row r="147" spans="7:14" x14ac:dyDescent="0.25">
      <c r="G147" s="28"/>
      <c r="H147" s="37"/>
      <c r="I147" s="37"/>
      <c r="J147" s="37" t="s">
        <v>35</v>
      </c>
      <c r="K147" s="37">
        <v>2</v>
      </c>
      <c r="L147" s="49">
        <f>L149*1.304</f>
        <v>456.40000000000003</v>
      </c>
      <c r="M147" s="50">
        <v>0.23</v>
      </c>
      <c r="N147" s="29">
        <f t="shared" si="16"/>
        <v>561.37200000000007</v>
      </c>
    </row>
    <row r="148" spans="7:14" x14ac:dyDescent="0.25">
      <c r="G148" s="28"/>
      <c r="H148" s="37"/>
      <c r="I148" s="37"/>
      <c r="J148" s="37" t="s">
        <v>35</v>
      </c>
      <c r="K148" s="37">
        <v>3</v>
      </c>
      <c r="L148" s="49">
        <f>L149*1.459</f>
        <v>510.65000000000003</v>
      </c>
      <c r="M148" s="50">
        <v>0.23</v>
      </c>
      <c r="N148" s="29">
        <f t="shared" si="16"/>
        <v>628.09950000000003</v>
      </c>
    </row>
    <row r="149" spans="7:14" x14ac:dyDescent="0.25">
      <c r="G149" s="28"/>
      <c r="H149" s="37"/>
      <c r="I149" s="37"/>
      <c r="J149" s="37" t="s">
        <v>36</v>
      </c>
      <c r="K149" s="37">
        <v>1</v>
      </c>
      <c r="L149" s="49">
        <v>350</v>
      </c>
      <c r="M149" s="50">
        <v>0.23</v>
      </c>
      <c r="N149" s="29">
        <f>L149+M149*L149</f>
        <v>430.5</v>
      </c>
    </row>
    <row r="150" spans="7:14" x14ac:dyDescent="0.25">
      <c r="G150" s="28"/>
      <c r="H150" s="37"/>
      <c r="I150" s="37"/>
      <c r="J150" s="37" t="s">
        <v>36</v>
      </c>
      <c r="K150" s="37">
        <v>2</v>
      </c>
      <c r="L150" s="49">
        <f>L149*1.126</f>
        <v>394.09999999999997</v>
      </c>
      <c r="M150" s="50">
        <v>0.23</v>
      </c>
      <c r="N150" s="29">
        <f t="shared" ref="N150:N159" si="17">L150+M150*L150</f>
        <v>484.74299999999994</v>
      </c>
    </row>
    <row r="151" spans="7:14" x14ac:dyDescent="0.25">
      <c r="G151" s="28"/>
      <c r="H151" s="37"/>
      <c r="I151" s="37"/>
      <c r="J151" s="37" t="s">
        <v>36</v>
      </c>
      <c r="K151" s="37">
        <v>3</v>
      </c>
      <c r="L151" s="49">
        <f>L149*1.243</f>
        <v>435.05</v>
      </c>
      <c r="M151" s="50">
        <v>0.23</v>
      </c>
      <c r="N151" s="29">
        <f t="shared" si="17"/>
        <v>535.11149999999998</v>
      </c>
    </row>
    <row r="152" spans="7:14" x14ac:dyDescent="0.25">
      <c r="G152" s="28"/>
      <c r="H152" s="37"/>
      <c r="I152" s="37"/>
      <c r="J152" s="37" t="s">
        <v>37</v>
      </c>
      <c r="K152" s="37">
        <v>1</v>
      </c>
      <c r="L152" s="49">
        <f>L149*0.875</f>
        <v>306.25</v>
      </c>
      <c r="M152" s="50">
        <v>0.23</v>
      </c>
      <c r="N152" s="29">
        <f t="shared" si="17"/>
        <v>376.6875</v>
      </c>
    </row>
    <row r="153" spans="7:14" x14ac:dyDescent="0.25">
      <c r="G153" s="28"/>
      <c r="H153" s="37"/>
      <c r="I153" s="37"/>
      <c r="J153" s="37" t="s">
        <v>37</v>
      </c>
      <c r="K153" s="37">
        <v>2</v>
      </c>
      <c r="L153" s="49">
        <f>L149*0.966</f>
        <v>338.09999999999997</v>
      </c>
      <c r="M153" s="50">
        <v>0.23</v>
      </c>
      <c r="N153" s="29">
        <f t="shared" si="17"/>
        <v>415.86299999999994</v>
      </c>
    </row>
    <row r="154" spans="7:14" ht="13.8" thickBot="1" x14ac:dyDescent="0.3">
      <c r="G154" s="30"/>
      <c r="H154" s="31"/>
      <c r="I154" s="31"/>
      <c r="J154" s="31" t="s">
        <v>37</v>
      </c>
      <c r="K154" s="31">
        <v>3</v>
      </c>
      <c r="L154" s="32">
        <f>L149*1.043</f>
        <v>365.04999999999995</v>
      </c>
      <c r="M154" s="33">
        <v>0.23</v>
      </c>
      <c r="N154" s="34">
        <f t="shared" si="17"/>
        <v>449.01149999999996</v>
      </c>
    </row>
    <row r="155" spans="7:14" ht="13.5" customHeight="1" x14ac:dyDescent="0.25">
      <c r="G155" s="23">
        <v>77</v>
      </c>
      <c r="H155" s="24" t="s">
        <v>30</v>
      </c>
      <c r="I155" s="35" t="s">
        <v>40</v>
      </c>
      <c r="J155" s="24" t="s">
        <v>34</v>
      </c>
      <c r="K155" s="24">
        <v>2</v>
      </c>
      <c r="L155" s="25">
        <f>L160*1.634</f>
        <v>620.91999999999996</v>
      </c>
      <c r="M155" s="26">
        <v>0.23</v>
      </c>
      <c r="N155" s="27">
        <f t="shared" si="17"/>
        <v>763.73159999999996</v>
      </c>
    </row>
    <row r="156" spans="7:14" x14ac:dyDescent="0.25">
      <c r="G156" s="28"/>
      <c r="H156" s="37"/>
      <c r="I156" s="37"/>
      <c r="J156" s="37" t="s">
        <v>34</v>
      </c>
      <c r="K156" s="37">
        <v>3</v>
      </c>
      <c r="L156" s="49">
        <f>L160*2.001</f>
        <v>760.38</v>
      </c>
      <c r="M156" s="50">
        <v>0.23</v>
      </c>
      <c r="N156" s="29">
        <f t="shared" si="17"/>
        <v>935.26739999999995</v>
      </c>
    </row>
    <row r="157" spans="7:14" x14ac:dyDescent="0.25">
      <c r="G157" s="28"/>
      <c r="H157" s="37"/>
      <c r="I157" s="37"/>
      <c r="J157" s="37" t="s">
        <v>35</v>
      </c>
      <c r="K157" s="37">
        <v>1</v>
      </c>
      <c r="L157" s="49">
        <f>L160*1.1</f>
        <v>418.00000000000006</v>
      </c>
      <c r="M157" s="50">
        <v>0.23</v>
      </c>
      <c r="N157" s="29">
        <f t="shared" si="17"/>
        <v>514.1400000000001</v>
      </c>
    </row>
    <row r="158" spans="7:14" x14ac:dyDescent="0.25">
      <c r="G158" s="28"/>
      <c r="H158" s="37"/>
      <c r="I158" s="37"/>
      <c r="J158" s="37" t="s">
        <v>35</v>
      </c>
      <c r="K158" s="37">
        <v>2</v>
      </c>
      <c r="L158" s="49">
        <f>L160*1.354</f>
        <v>514.52</v>
      </c>
      <c r="M158" s="50">
        <v>0.23</v>
      </c>
      <c r="N158" s="29">
        <f t="shared" si="17"/>
        <v>632.8596</v>
      </c>
    </row>
    <row r="159" spans="7:14" x14ac:dyDescent="0.25">
      <c r="G159" s="28"/>
      <c r="H159" s="37"/>
      <c r="I159" s="37"/>
      <c r="J159" s="37" t="s">
        <v>35</v>
      </c>
      <c r="K159" s="37">
        <v>3</v>
      </c>
      <c r="L159" s="49">
        <f>L160*1.546</f>
        <v>587.48</v>
      </c>
      <c r="M159" s="50">
        <v>0.23</v>
      </c>
      <c r="N159" s="29">
        <f t="shared" si="17"/>
        <v>722.60040000000004</v>
      </c>
    </row>
    <row r="160" spans="7:14" x14ac:dyDescent="0.25">
      <c r="G160" s="28"/>
      <c r="H160" s="37"/>
      <c r="I160" s="37"/>
      <c r="J160" s="37" t="s">
        <v>36</v>
      </c>
      <c r="K160" s="37">
        <v>1</v>
      </c>
      <c r="L160" s="49">
        <v>380</v>
      </c>
      <c r="M160" s="50">
        <v>0.23</v>
      </c>
      <c r="N160" s="29">
        <f t="shared" ref="N160:N165" si="18">L160+M160*L160</f>
        <v>467.4</v>
      </c>
    </row>
    <row r="161" spans="7:14" x14ac:dyDescent="0.25">
      <c r="G161" s="28"/>
      <c r="H161" s="37"/>
      <c r="I161" s="37"/>
      <c r="J161" s="37" t="s">
        <v>36</v>
      </c>
      <c r="K161" s="37">
        <v>2</v>
      </c>
      <c r="L161" s="49">
        <f>L160*1.169</f>
        <v>444.22</v>
      </c>
      <c r="M161" s="50">
        <v>0.23</v>
      </c>
      <c r="N161" s="29">
        <f t="shared" si="18"/>
        <v>546.39060000000006</v>
      </c>
    </row>
    <row r="162" spans="7:14" x14ac:dyDescent="0.25">
      <c r="G162" s="28"/>
      <c r="H162" s="37"/>
      <c r="I162" s="37"/>
      <c r="J162" s="37" t="s">
        <v>36</v>
      </c>
      <c r="K162" s="37">
        <v>3</v>
      </c>
      <c r="L162" s="49">
        <f>L160*1.332</f>
        <v>506.16</v>
      </c>
      <c r="M162" s="50">
        <v>0.23</v>
      </c>
      <c r="N162" s="29">
        <f t="shared" si="18"/>
        <v>622.57680000000005</v>
      </c>
    </row>
    <row r="163" spans="7:14" x14ac:dyDescent="0.25">
      <c r="G163" s="28"/>
      <c r="H163" s="37"/>
      <c r="I163" s="37"/>
      <c r="J163" s="37" t="s">
        <v>37</v>
      </c>
      <c r="K163" s="37">
        <v>1</v>
      </c>
      <c r="L163" s="49">
        <f>L160*0.765</f>
        <v>290.7</v>
      </c>
      <c r="M163" s="50">
        <v>0.23</v>
      </c>
      <c r="N163" s="29">
        <f t="shared" si="18"/>
        <v>357.56099999999998</v>
      </c>
    </row>
    <row r="164" spans="7:14" x14ac:dyDescent="0.25">
      <c r="G164" s="28"/>
      <c r="H164" s="37"/>
      <c r="I164" s="37"/>
      <c r="J164" s="37" t="s">
        <v>37</v>
      </c>
      <c r="K164" s="37">
        <v>2</v>
      </c>
      <c r="L164" s="49">
        <f>L160*0.832</f>
        <v>316.15999999999997</v>
      </c>
      <c r="M164" s="50">
        <v>0.23</v>
      </c>
      <c r="N164" s="29">
        <f t="shared" si="18"/>
        <v>388.87679999999995</v>
      </c>
    </row>
    <row r="165" spans="7:14" ht="13.8" thickBot="1" x14ac:dyDescent="0.3">
      <c r="G165" s="30"/>
      <c r="H165" s="31"/>
      <c r="I165" s="31"/>
      <c r="J165" s="31" t="s">
        <v>37</v>
      </c>
      <c r="K165" s="31">
        <v>3</v>
      </c>
      <c r="L165" s="32">
        <f>L160*0.903</f>
        <v>343.14</v>
      </c>
      <c r="M165" s="33">
        <v>0.23</v>
      </c>
      <c r="N165" s="34">
        <f t="shared" si="18"/>
        <v>422.06219999999996</v>
      </c>
    </row>
    <row r="171" spans="7:14" ht="12.75" customHeight="1" x14ac:dyDescent="0.25">
      <c r="G171" s="65" t="s">
        <v>68</v>
      </c>
      <c r="H171" s="65"/>
      <c r="I171" s="65"/>
      <c r="J171" s="65"/>
      <c r="K171" s="65"/>
      <c r="L171" s="65"/>
      <c r="M171" s="65"/>
      <c r="N171" s="65"/>
    </row>
    <row r="172" spans="7:14" x14ac:dyDescent="0.25">
      <c r="G172" s="65"/>
      <c r="H172" s="65"/>
      <c r="I172" s="65"/>
      <c r="J172" s="65"/>
      <c r="K172" s="65"/>
      <c r="L172" s="65"/>
      <c r="M172" s="65"/>
      <c r="N172" s="65"/>
    </row>
    <row r="173" spans="7:14" x14ac:dyDescent="0.25">
      <c r="G173" s="65"/>
      <c r="H173" s="65"/>
      <c r="I173" s="65"/>
      <c r="J173" s="65"/>
      <c r="K173" s="65"/>
      <c r="L173" s="65"/>
      <c r="M173" s="65"/>
      <c r="N173" s="65"/>
    </row>
    <row r="174" spans="7:14" x14ac:dyDescent="0.25">
      <c r="G174" s="65"/>
      <c r="H174" s="65"/>
      <c r="I174" s="65"/>
      <c r="J174" s="65"/>
      <c r="K174" s="65"/>
      <c r="L174" s="65"/>
      <c r="M174" s="65"/>
      <c r="N174" s="65"/>
    </row>
    <row r="175" spans="7:14" ht="30.75" customHeight="1" x14ac:dyDescent="0.25">
      <c r="G175" s="65"/>
      <c r="H175" s="65"/>
      <c r="I175" s="65"/>
      <c r="J175" s="65"/>
      <c r="K175" s="65"/>
      <c r="L175" s="65"/>
      <c r="M175" s="65"/>
      <c r="N175" s="65"/>
    </row>
    <row r="176" spans="7:14" ht="13.8" thickBot="1" x14ac:dyDescent="0.3"/>
    <row r="177" spans="7:14" x14ac:dyDescent="0.25">
      <c r="G177" s="66" t="s">
        <v>0</v>
      </c>
      <c r="H177" s="68" t="s">
        <v>8</v>
      </c>
      <c r="I177" s="68" t="s">
        <v>9</v>
      </c>
      <c r="J177" s="68" t="s">
        <v>33</v>
      </c>
      <c r="K177" s="68" t="s">
        <v>32</v>
      </c>
      <c r="L177" s="70" t="s">
        <v>12</v>
      </c>
      <c r="M177" s="72" t="s">
        <v>10</v>
      </c>
      <c r="N177" s="74" t="s">
        <v>13</v>
      </c>
    </row>
    <row r="178" spans="7:14" ht="13.8" thickBot="1" x14ac:dyDescent="0.3">
      <c r="G178" s="67"/>
      <c r="H178" s="69"/>
      <c r="I178" s="69"/>
      <c r="J178" s="69"/>
      <c r="K178" s="69"/>
      <c r="L178" s="71"/>
      <c r="M178" s="73"/>
      <c r="N178" s="75"/>
    </row>
    <row r="179" spans="7:14" x14ac:dyDescent="0.25">
      <c r="G179" s="23">
        <v>78</v>
      </c>
      <c r="H179" s="24" t="s">
        <v>30</v>
      </c>
      <c r="I179" s="24" t="s">
        <v>41</v>
      </c>
      <c r="J179" s="24" t="s">
        <v>34</v>
      </c>
      <c r="K179" s="24">
        <v>2</v>
      </c>
      <c r="L179" s="25">
        <f>L184*1.555</f>
        <v>590.9</v>
      </c>
      <c r="M179" s="26">
        <v>0.23</v>
      </c>
      <c r="N179" s="27">
        <f t="shared" ref="N179:N184" si="19">L179+M179*L179</f>
        <v>726.80700000000002</v>
      </c>
    </row>
    <row r="180" spans="7:14" x14ac:dyDescent="0.25">
      <c r="G180" s="28"/>
      <c r="H180" s="37"/>
      <c r="I180" s="37"/>
      <c r="J180" s="37" t="s">
        <v>34</v>
      </c>
      <c r="K180" s="37">
        <v>3</v>
      </c>
      <c r="L180" s="49">
        <f>L184*1.881</f>
        <v>714.78</v>
      </c>
      <c r="M180" s="50">
        <v>0.23</v>
      </c>
      <c r="N180" s="29">
        <f t="shared" si="19"/>
        <v>879.17939999999999</v>
      </c>
    </row>
    <row r="181" spans="7:14" x14ac:dyDescent="0.25">
      <c r="G181" s="28"/>
      <c r="H181" s="37"/>
      <c r="I181" s="37"/>
      <c r="J181" s="37" t="s">
        <v>35</v>
      </c>
      <c r="K181" s="37">
        <v>1</v>
      </c>
      <c r="L181" s="49">
        <f>L184*1.205</f>
        <v>457.90000000000003</v>
      </c>
      <c r="M181" s="50">
        <v>0.23</v>
      </c>
      <c r="N181" s="29">
        <f t="shared" si="19"/>
        <v>563.2170000000001</v>
      </c>
    </row>
    <row r="182" spans="7:14" x14ac:dyDescent="0.25">
      <c r="G182" s="28"/>
      <c r="H182" s="37"/>
      <c r="I182" s="37"/>
      <c r="J182" s="37" t="s">
        <v>35</v>
      </c>
      <c r="K182" s="37">
        <v>2</v>
      </c>
      <c r="L182" s="49">
        <f>L184*1.352</f>
        <v>513.76</v>
      </c>
      <c r="M182" s="50">
        <v>0.23</v>
      </c>
      <c r="N182" s="29">
        <f t="shared" si="19"/>
        <v>631.9248</v>
      </c>
    </row>
    <row r="183" spans="7:14" x14ac:dyDescent="0.25">
      <c r="G183" s="28"/>
      <c r="H183" s="37"/>
      <c r="I183" s="37"/>
      <c r="J183" s="37" t="s">
        <v>35</v>
      </c>
      <c r="K183" s="37">
        <v>3</v>
      </c>
      <c r="L183" s="49">
        <f>L184*1.479</f>
        <v>562.02</v>
      </c>
      <c r="M183" s="50">
        <v>0.23</v>
      </c>
      <c r="N183" s="29">
        <f t="shared" si="19"/>
        <v>691.28459999999995</v>
      </c>
    </row>
    <row r="184" spans="7:14" x14ac:dyDescent="0.25">
      <c r="G184" s="28"/>
      <c r="H184" s="37"/>
      <c r="I184" s="37"/>
      <c r="J184" s="37" t="s">
        <v>36</v>
      </c>
      <c r="K184" s="37">
        <v>1</v>
      </c>
      <c r="L184" s="49">
        <v>380</v>
      </c>
      <c r="M184" s="50">
        <v>0.23</v>
      </c>
      <c r="N184" s="29">
        <f t="shared" si="19"/>
        <v>467.4</v>
      </c>
    </row>
    <row r="185" spans="7:14" x14ac:dyDescent="0.25">
      <c r="G185" s="28"/>
      <c r="H185" s="37"/>
      <c r="I185" s="37"/>
      <c r="J185" s="37" t="s">
        <v>36</v>
      </c>
      <c r="K185" s="37">
        <v>2</v>
      </c>
      <c r="L185" s="49">
        <f>L184*1.164</f>
        <v>442.32</v>
      </c>
      <c r="M185" s="50">
        <v>0.23</v>
      </c>
      <c r="N185" s="29">
        <f t="shared" ref="N185:N194" si="20">L185+M185*L185</f>
        <v>544.05359999999996</v>
      </c>
    </row>
    <row r="186" spans="7:14" x14ac:dyDescent="0.25">
      <c r="G186" s="28"/>
      <c r="H186" s="37"/>
      <c r="I186" s="37"/>
      <c r="J186" s="37" t="s">
        <v>36</v>
      </c>
      <c r="K186" s="37">
        <v>3</v>
      </c>
      <c r="L186" s="49">
        <f>L184*1.312</f>
        <v>498.56</v>
      </c>
      <c r="M186" s="50">
        <v>0.23</v>
      </c>
      <c r="N186" s="29">
        <f t="shared" si="20"/>
        <v>613.22879999999998</v>
      </c>
    </row>
    <row r="187" spans="7:14" x14ac:dyDescent="0.25">
      <c r="G187" s="28"/>
      <c r="H187" s="37"/>
      <c r="I187" s="37"/>
      <c r="J187" s="37" t="s">
        <v>37</v>
      </c>
      <c r="K187" s="37">
        <v>1</v>
      </c>
      <c r="L187" s="49">
        <f>L184*0.781</f>
        <v>296.78000000000003</v>
      </c>
      <c r="M187" s="50">
        <v>0.23</v>
      </c>
      <c r="N187" s="29">
        <f t="shared" si="20"/>
        <v>365.03940000000006</v>
      </c>
    </row>
    <row r="188" spans="7:14" x14ac:dyDescent="0.25">
      <c r="G188" s="28"/>
      <c r="H188" s="37"/>
      <c r="I188" s="37"/>
      <c r="J188" s="37" t="s">
        <v>37</v>
      </c>
      <c r="K188" s="37">
        <v>2</v>
      </c>
      <c r="L188" s="49">
        <f>L184*0.864</f>
        <v>328.32</v>
      </c>
      <c r="M188" s="50">
        <v>0.23</v>
      </c>
      <c r="N188" s="29">
        <f t="shared" si="20"/>
        <v>403.83359999999999</v>
      </c>
    </row>
    <row r="189" spans="7:14" ht="13.8" thickBot="1" x14ac:dyDescent="0.3">
      <c r="G189" s="30"/>
      <c r="H189" s="31"/>
      <c r="I189" s="31"/>
      <c r="J189" s="31" t="s">
        <v>37</v>
      </c>
      <c r="K189" s="31">
        <v>3</v>
      </c>
      <c r="L189" s="32">
        <f>L184*0.998</f>
        <v>379.24</v>
      </c>
      <c r="M189" s="33">
        <v>0.23</v>
      </c>
      <c r="N189" s="34">
        <f t="shared" si="20"/>
        <v>466.46519999999998</v>
      </c>
    </row>
    <row r="190" spans="7:14" x14ac:dyDescent="0.25">
      <c r="G190" s="23">
        <v>79</v>
      </c>
      <c r="H190" s="24" t="s">
        <v>30</v>
      </c>
      <c r="I190" s="24" t="s">
        <v>29</v>
      </c>
      <c r="J190" s="24" t="s">
        <v>34</v>
      </c>
      <c r="K190" s="24">
        <v>2</v>
      </c>
      <c r="L190" s="25">
        <f>L195*1.755</f>
        <v>666.9</v>
      </c>
      <c r="M190" s="26">
        <v>0.23</v>
      </c>
      <c r="N190" s="27">
        <f t="shared" si="20"/>
        <v>820.28700000000003</v>
      </c>
    </row>
    <row r="191" spans="7:14" x14ac:dyDescent="0.25">
      <c r="G191" s="28"/>
      <c r="H191" s="37"/>
      <c r="I191" s="37"/>
      <c r="J191" s="37" t="s">
        <v>34</v>
      </c>
      <c r="K191" s="37">
        <v>3</v>
      </c>
      <c r="L191" s="49">
        <f>L195*2.166</f>
        <v>823.07999999999993</v>
      </c>
      <c r="M191" s="50">
        <v>0.23</v>
      </c>
      <c r="N191" s="29">
        <f t="shared" si="20"/>
        <v>1012.3883999999999</v>
      </c>
    </row>
    <row r="192" spans="7:14" x14ac:dyDescent="0.25">
      <c r="G192" s="28"/>
      <c r="H192" s="37"/>
      <c r="I192" s="37"/>
      <c r="J192" s="37" t="s">
        <v>35</v>
      </c>
      <c r="K192" s="37">
        <v>1</v>
      </c>
      <c r="L192" s="49">
        <f>L195*1.302</f>
        <v>494.76</v>
      </c>
      <c r="M192" s="50">
        <v>0.23</v>
      </c>
      <c r="N192" s="29">
        <f t="shared" si="20"/>
        <v>608.5548</v>
      </c>
    </row>
    <row r="193" spans="7:14" x14ac:dyDescent="0.25">
      <c r="G193" s="28"/>
      <c r="H193" s="37"/>
      <c r="I193" s="37"/>
      <c r="J193" s="37" t="s">
        <v>35</v>
      </c>
      <c r="K193" s="37">
        <v>2</v>
      </c>
      <c r="L193" s="49">
        <f>L195*1.422</f>
        <v>540.36</v>
      </c>
      <c r="M193" s="50">
        <v>0.23</v>
      </c>
      <c r="N193" s="29">
        <f t="shared" si="20"/>
        <v>664.64280000000008</v>
      </c>
    </row>
    <row r="194" spans="7:14" x14ac:dyDescent="0.25">
      <c r="G194" s="28"/>
      <c r="H194" s="37"/>
      <c r="I194" s="37"/>
      <c r="J194" s="37" t="s">
        <v>35</v>
      </c>
      <c r="K194" s="37">
        <v>3</v>
      </c>
      <c r="L194" s="49">
        <f>L195*1.639</f>
        <v>622.82000000000005</v>
      </c>
      <c r="M194" s="50">
        <v>0.23</v>
      </c>
      <c r="N194" s="29">
        <f t="shared" si="20"/>
        <v>766.06860000000006</v>
      </c>
    </row>
    <row r="195" spans="7:14" x14ac:dyDescent="0.25">
      <c r="G195" s="28"/>
      <c r="H195" s="37"/>
      <c r="I195" s="37"/>
      <c r="J195" s="37" t="s">
        <v>36</v>
      </c>
      <c r="K195" s="37">
        <v>1</v>
      </c>
      <c r="L195" s="49">
        <v>380</v>
      </c>
      <c r="M195" s="50">
        <v>0.23</v>
      </c>
      <c r="N195" s="29">
        <f>L195+M195*L195</f>
        <v>467.4</v>
      </c>
    </row>
    <row r="196" spans="7:14" x14ac:dyDescent="0.25">
      <c r="G196" s="28"/>
      <c r="H196" s="37"/>
      <c r="I196" s="37"/>
      <c r="J196" s="37" t="s">
        <v>36</v>
      </c>
      <c r="K196" s="37">
        <v>2</v>
      </c>
      <c r="L196" s="49">
        <f>L195*1.183</f>
        <v>449.54</v>
      </c>
      <c r="M196" s="50">
        <v>0.23</v>
      </c>
      <c r="N196" s="29">
        <f t="shared" ref="N196:N205" si="21">L196+M196*L196</f>
        <v>552.93420000000003</v>
      </c>
    </row>
    <row r="197" spans="7:14" x14ac:dyDescent="0.25">
      <c r="G197" s="28"/>
      <c r="H197" s="37"/>
      <c r="I197" s="37"/>
      <c r="J197" s="37" t="s">
        <v>36</v>
      </c>
      <c r="K197" s="37">
        <v>3</v>
      </c>
      <c r="L197" s="49">
        <f>L195*1.289</f>
        <v>489.82</v>
      </c>
      <c r="M197" s="50">
        <v>0.23</v>
      </c>
      <c r="N197" s="29">
        <f t="shared" si="21"/>
        <v>602.47860000000003</v>
      </c>
    </row>
    <row r="198" spans="7:14" x14ac:dyDescent="0.25">
      <c r="G198" s="28"/>
      <c r="H198" s="37"/>
      <c r="I198" s="37"/>
      <c r="J198" s="37" t="s">
        <v>37</v>
      </c>
      <c r="K198" s="37">
        <v>1</v>
      </c>
      <c r="L198" s="49">
        <f>L195*0.711</f>
        <v>270.18</v>
      </c>
      <c r="M198" s="50">
        <v>0.23</v>
      </c>
      <c r="N198" s="29">
        <f t="shared" si="21"/>
        <v>332.32140000000004</v>
      </c>
    </row>
    <row r="199" spans="7:14" x14ac:dyDescent="0.25">
      <c r="G199" s="28"/>
      <c r="H199" s="37"/>
      <c r="I199" s="37"/>
      <c r="J199" s="37" t="s">
        <v>37</v>
      </c>
      <c r="K199" s="37">
        <v>2</v>
      </c>
      <c r="L199" s="49">
        <f>L195*0.762</f>
        <v>289.56</v>
      </c>
      <c r="M199" s="50">
        <v>0.23</v>
      </c>
      <c r="N199" s="29">
        <f t="shared" si="21"/>
        <v>356.15879999999999</v>
      </c>
    </row>
    <row r="200" spans="7:14" ht="13.8" thickBot="1" x14ac:dyDescent="0.3">
      <c r="G200" s="30"/>
      <c r="H200" s="31"/>
      <c r="I200" s="31"/>
      <c r="J200" s="31" t="s">
        <v>37</v>
      </c>
      <c r="K200" s="31">
        <v>3</v>
      </c>
      <c r="L200" s="32">
        <f>L195*0.804</f>
        <v>305.52000000000004</v>
      </c>
      <c r="M200" s="33">
        <v>0.23</v>
      </c>
      <c r="N200" s="34">
        <f t="shared" si="21"/>
        <v>375.78960000000006</v>
      </c>
    </row>
    <row r="201" spans="7:14" x14ac:dyDescent="0.25">
      <c r="G201" s="23">
        <v>80</v>
      </c>
      <c r="H201" s="24" t="s">
        <v>30</v>
      </c>
      <c r="I201" s="24" t="s">
        <v>27</v>
      </c>
      <c r="J201" s="24" t="s">
        <v>34</v>
      </c>
      <c r="K201" s="24">
        <v>2</v>
      </c>
      <c r="L201" s="25">
        <f>L206*1.697</f>
        <v>644.86</v>
      </c>
      <c r="M201" s="26">
        <v>0.23</v>
      </c>
      <c r="N201" s="27">
        <f t="shared" si="21"/>
        <v>793.17780000000005</v>
      </c>
    </row>
    <row r="202" spans="7:14" x14ac:dyDescent="0.25">
      <c r="G202" s="28"/>
      <c r="H202" s="37"/>
      <c r="I202" s="37"/>
      <c r="J202" s="37" t="s">
        <v>34</v>
      </c>
      <c r="K202" s="37">
        <v>3</v>
      </c>
      <c r="L202" s="49">
        <f>L206*2.011</f>
        <v>764.18000000000006</v>
      </c>
      <c r="M202" s="50">
        <v>0.23</v>
      </c>
      <c r="N202" s="29">
        <f t="shared" si="21"/>
        <v>939.94140000000004</v>
      </c>
    </row>
    <row r="203" spans="7:14" x14ac:dyDescent="0.25">
      <c r="G203" s="28"/>
      <c r="H203" s="37"/>
      <c r="I203" s="37"/>
      <c r="J203" s="37" t="s">
        <v>35</v>
      </c>
      <c r="K203" s="37">
        <v>1</v>
      </c>
      <c r="L203" s="49">
        <f>L206*1.258</f>
        <v>478.04</v>
      </c>
      <c r="M203" s="50">
        <v>0.23</v>
      </c>
      <c r="N203" s="29">
        <f t="shared" si="21"/>
        <v>587.98919999999998</v>
      </c>
    </row>
    <row r="204" spans="7:14" x14ac:dyDescent="0.25">
      <c r="G204" s="28"/>
      <c r="H204" s="37"/>
      <c r="I204" s="37"/>
      <c r="J204" s="37" t="s">
        <v>35</v>
      </c>
      <c r="K204" s="37">
        <v>2</v>
      </c>
      <c r="L204" s="49">
        <f>L206*1.399</f>
        <v>531.62</v>
      </c>
      <c r="M204" s="50">
        <v>0.23</v>
      </c>
      <c r="N204" s="29">
        <f t="shared" si="21"/>
        <v>653.89260000000002</v>
      </c>
    </row>
    <row r="205" spans="7:14" x14ac:dyDescent="0.25">
      <c r="G205" s="28"/>
      <c r="H205" s="37"/>
      <c r="I205" s="37"/>
      <c r="J205" s="37" t="s">
        <v>35</v>
      </c>
      <c r="K205" s="37">
        <v>3</v>
      </c>
      <c r="L205" s="49">
        <f>L206*1.632</f>
        <v>620.16</v>
      </c>
      <c r="M205" s="50">
        <v>0.23</v>
      </c>
      <c r="N205" s="29">
        <f t="shared" si="21"/>
        <v>762.79679999999996</v>
      </c>
    </row>
    <row r="206" spans="7:14" x14ac:dyDescent="0.25">
      <c r="G206" s="28"/>
      <c r="H206" s="37"/>
      <c r="I206" s="37"/>
      <c r="J206" s="37" t="s">
        <v>36</v>
      </c>
      <c r="K206" s="37">
        <v>1</v>
      </c>
      <c r="L206" s="49">
        <v>380</v>
      </c>
      <c r="M206" s="50">
        <v>0.23</v>
      </c>
      <c r="N206" s="29">
        <f>L206+M206*L206</f>
        <v>467.4</v>
      </c>
    </row>
    <row r="207" spans="7:14" x14ac:dyDescent="0.25">
      <c r="G207" s="28"/>
      <c r="H207" s="37"/>
      <c r="I207" s="37"/>
      <c r="J207" s="37" t="s">
        <v>36</v>
      </c>
      <c r="K207" s="37">
        <v>2</v>
      </c>
      <c r="L207" s="49">
        <f>L206*1.165</f>
        <v>442.7</v>
      </c>
      <c r="M207" s="50">
        <v>0.23</v>
      </c>
      <c r="N207" s="29">
        <f t="shared" ref="N207:N216" si="22">L207+M207*L207</f>
        <v>544.52099999999996</v>
      </c>
    </row>
    <row r="208" spans="7:14" x14ac:dyDescent="0.25">
      <c r="G208" s="28"/>
      <c r="H208" s="37"/>
      <c r="I208" s="37"/>
      <c r="J208" s="37" t="s">
        <v>36</v>
      </c>
      <c r="K208" s="37">
        <v>3</v>
      </c>
      <c r="L208" s="49">
        <f>L206*1.338</f>
        <v>508.44000000000005</v>
      </c>
      <c r="M208" s="50">
        <v>0.23</v>
      </c>
      <c r="N208" s="29">
        <f t="shared" si="22"/>
        <v>625.38120000000004</v>
      </c>
    </row>
    <row r="209" spans="7:14" x14ac:dyDescent="0.25">
      <c r="G209" s="28"/>
      <c r="H209" s="37"/>
      <c r="I209" s="37"/>
      <c r="J209" s="37" t="s">
        <v>37</v>
      </c>
      <c r="K209" s="37">
        <v>1</v>
      </c>
      <c r="L209" s="49">
        <f>L206*0.719</f>
        <v>273.21999999999997</v>
      </c>
      <c r="M209" s="50">
        <v>0.23</v>
      </c>
      <c r="N209" s="29">
        <f t="shared" si="22"/>
        <v>336.06059999999997</v>
      </c>
    </row>
    <row r="210" spans="7:14" x14ac:dyDescent="0.25">
      <c r="G210" s="28"/>
      <c r="H210" s="37"/>
      <c r="I210" s="37"/>
      <c r="J210" s="37" t="s">
        <v>37</v>
      </c>
      <c r="K210" s="37">
        <v>2</v>
      </c>
      <c r="L210" s="49">
        <f>L206*0.787</f>
        <v>299.06</v>
      </c>
      <c r="M210" s="50">
        <v>0.23</v>
      </c>
      <c r="N210" s="29">
        <f t="shared" si="22"/>
        <v>367.84379999999999</v>
      </c>
    </row>
    <row r="211" spans="7:14" ht="13.8" thickBot="1" x14ac:dyDescent="0.3">
      <c r="G211" s="30"/>
      <c r="H211" s="31"/>
      <c r="I211" s="31"/>
      <c r="J211" s="31" t="s">
        <v>37</v>
      </c>
      <c r="K211" s="31">
        <v>3</v>
      </c>
      <c r="L211" s="32">
        <f>L206*0.877</f>
        <v>333.26</v>
      </c>
      <c r="M211" s="33">
        <v>0.23</v>
      </c>
      <c r="N211" s="34">
        <f t="shared" si="22"/>
        <v>409.90980000000002</v>
      </c>
    </row>
    <row r="212" spans="7:14" x14ac:dyDescent="0.25">
      <c r="G212" s="23">
        <v>81</v>
      </c>
      <c r="H212" s="24" t="s">
        <v>30</v>
      </c>
      <c r="I212" s="35" t="s">
        <v>42</v>
      </c>
      <c r="J212" s="24" t="s">
        <v>34</v>
      </c>
      <c r="K212" s="24">
        <v>2</v>
      </c>
      <c r="L212" s="25">
        <f>L217*1.755</f>
        <v>666.9</v>
      </c>
      <c r="M212" s="26">
        <v>0.23</v>
      </c>
      <c r="N212" s="27">
        <f t="shared" si="22"/>
        <v>820.28700000000003</v>
      </c>
    </row>
    <row r="213" spans="7:14" x14ac:dyDescent="0.25">
      <c r="G213" s="28"/>
      <c r="H213" s="37"/>
      <c r="I213" s="37"/>
      <c r="J213" s="37" t="s">
        <v>34</v>
      </c>
      <c r="K213" s="37">
        <v>3</v>
      </c>
      <c r="L213" s="49">
        <f>L217*2.166</f>
        <v>823.07999999999993</v>
      </c>
      <c r="M213" s="50">
        <v>0.23</v>
      </c>
      <c r="N213" s="29">
        <f t="shared" si="22"/>
        <v>1012.3883999999999</v>
      </c>
    </row>
    <row r="214" spans="7:14" x14ac:dyDescent="0.25">
      <c r="G214" s="28"/>
      <c r="H214" s="37"/>
      <c r="I214" s="37"/>
      <c r="J214" s="37" t="s">
        <v>35</v>
      </c>
      <c r="K214" s="37">
        <v>1</v>
      </c>
      <c r="L214" s="49">
        <f>L217*1.302</f>
        <v>494.76</v>
      </c>
      <c r="M214" s="50">
        <v>0.23</v>
      </c>
      <c r="N214" s="29">
        <f t="shared" si="22"/>
        <v>608.5548</v>
      </c>
    </row>
    <row r="215" spans="7:14" x14ac:dyDescent="0.25">
      <c r="G215" s="28"/>
      <c r="H215" s="37"/>
      <c r="I215" s="37"/>
      <c r="J215" s="37" t="s">
        <v>35</v>
      </c>
      <c r="K215" s="37">
        <v>2</v>
      </c>
      <c r="L215" s="49">
        <f>L217*1.422</f>
        <v>540.36</v>
      </c>
      <c r="M215" s="50">
        <v>0.23</v>
      </c>
      <c r="N215" s="29">
        <f t="shared" si="22"/>
        <v>664.64280000000008</v>
      </c>
    </row>
    <row r="216" spans="7:14" x14ac:dyDescent="0.25">
      <c r="G216" s="28"/>
      <c r="H216" s="37"/>
      <c r="I216" s="37"/>
      <c r="J216" s="37" t="s">
        <v>35</v>
      </c>
      <c r="K216" s="37">
        <v>3</v>
      </c>
      <c r="L216" s="49">
        <f>L217*1.639</f>
        <v>622.82000000000005</v>
      </c>
      <c r="M216" s="50">
        <v>0.23</v>
      </c>
      <c r="N216" s="29">
        <f t="shared" si="22"/>
        <v>766.06860000000006</v>
      </c>
    </row>
    <row r="217" spans="7:14" x14ac:dyDescent="0.25">
      <c r="G217" s="28"/>
      <c r="H217" s="37"/>
      <c r="I217" s="37"/>
      <c r="J217" s="37" t="s">
        <v>36</v>
      </c>
      <c r="K217" s="37">
        <v>1</v>
      </c>
      <c r="L217" s="49">
        <v>380</v>
      </c>
      <c r="M217" s="50">
        <v>0.23</v>
      </c>
      <c r="N217" s="29">
        <f t="shared" ref="N217:N222" si="23">L217+M217*L217</f>
        <v>467.4</v>
      </c>
    </row>
    <row r="218" spans="7:14" x14ac:dyDescent="0.25">
      <c r="G218" s="28"/>
      <c r="H218" s="37"/>
      <c r="I218" s="37"/>
      <c r="J218" s="37" t="s">
        <v>36</v>
      </c>
      <c r="K218" s="37">
        <v>2</v>
      </c>
      <c r="L218" s="49">
        <f>L217*1.183</f>
        <v>449.54</v>
      </c>
      <c r="M218" s="50">
        <v>0.23</v>
      </c>
      <c r="N218" s="29">
        <f t="shared" si="23"/>
        <v>552.93420000000003</v>
      </c>
    </row>
    <row r="219" spans="7:14" x14ac:dyDescent="0.25">
      <c r="G219" s="28"/>
      <c r="H219" s="37"/>
      <c r="I219" s="37"/>
      <c r="J219" s="37" t="s">
        <v>36</v>
      </c>
      <c r="K219" s="37">
        <v>3</v>
      </c>
      <c r="L219" s="49">
        <f>L217*1.289</f>
        <v>489.82</v>
      </c>
      <c r="M219" s="50">
        <v>0.23</v>
      </c>
      <c r="N219" s="29">
        <f t="shared" si="23"/>
        <v>602.47860000000003</v>
      </c>
    </row>
    <row r="220" spans="7:14" x14ac:dyDescent="0.25">
      <c r="G220" s="28"/>
      <c r="H220" s="37"/>
      <c r="I220" s="37"/>
      <c r="J220" s="37" t="s">
        <v>37</v>
      </c>
      <c r="K220" s="37">
        <v>1</v>
      </c>
      <c r="L220" s="49">
        <f>L217*0.711</f>
        <v>270.18</v>
      </c>
      <c r="M220" s="50">
        <v>0.23</v>
      </c>
      <c r="N220" s="29">
        <f t="shared" si="23"/>
        <v>332.32140000000004</v>
      </c>
    </row>
    <row r="221" spans="7:14" x14ac:dyDescent="0.25">
      <c r="G221" s="28"/>
      <c r="H221" s="37"/>
      <c r="I221" s="37"/>
      <c r="J221" s="37" t="s">
        <v>37</v>
      </c>
      <c r="K221" s="37">
        <v>2</v>
      </c>
      <c r="L221" s="49">
        <f>L217*0.762</f>
        <v>289.56</v>
      </c>
      <c r="M221" s="50">
        <v>0.23</v>
      </c>
      <c r="N221" s="29">
        <f t="shared" si="23"/>
        <v>356.15879999999999</v>
      </c>
    </row>
    <row r="222" spans="7:14" ht="13.8" thickBot="1" x14ac:dyDescent="0.3">
      <c r="G222" s="30"/>
      <c r="H222" s="31"/>
      <c r="I222" s="31"/>
      <c r="J222" s="31" t="s">
        <v>37</v>
      </c>
      <c r="K222" s="31">
        <v>3</v>
      </c>
      <c r="L222" s="32">
        <f>L217*0.804</f>
        <v>305.52000000000004</v>
      </c>
      <c r="M222" s="33">
        <v>0.23</v>
      </c>
      <c r="N222" s="34">
        <f t="shared" si="23"/>
        <v>375.78960000000006</v>
      </c>
    </row>
    <row r="228" spans="7:14" ht="12.75" customHeight="1" x14ac:dyDescent="0.25">
      <c r="G228" s="65" t="s">
        <v>68</v>
      </c>
      <c r="H228" s="65"/>
      <c r="I228" s="65"/>
      <c r="J228" s="65"/>
      <c r="K228" s="65"/>
      <c r="L228" s="65"/>
      <c r="M228" s="65"/>
      <c r="N228" s="65"/>
    </row>
    <row r="229" spans="7:14" x14ac:dyDescent="0.25">
      <c r="G229" s="65"/>
      <c r="H229" s="65"/>
      <c r="I229" s="65"/>
      <c r="J229" s="65"/>
      <c r="K229" s="65"/>
      <c r="L229" s="65"/>
      <c r="M229" s="65"/>
      <c r="N229" s="65"/>
    </row>
    <row r="230" spans="7:14" x14ac:dyDescent="0.25">
      <c r="G230" s="65"/>
      <c r="H230" s="65"/>
      <c r="I230" s="65"/>
      <c r="J230" s="65"/>
      <c r="K230" s="65"/>
      <c r="L230" s="65"/>
      <c r="M230" s="65"/>
      <c r="N230" s="65"/>
    </row>
    <row r="231" spans="7:14" x14ac:dyDescent="0.25">
      <c r="G231" s="65"/>
      <c r="H231" s="65"/>
      <c r="I231" s="65"/>
      <c r="J231" s="65"/>
      <c r="K231" s="65"/>
      <c r="L231" s="65"/>
      <c r="M231" s="65"/>
      <c r="N231" s="65"/>
    </row>
    <row r="232" spans="7:14" ht="30.75" customHeight="1" x14ac:dyDescent="0.25">
      <c r="G232" s="65"/>
      <c r="H232" s="65"/>
      <c r="I232" s="65"/>
      <c r="J232" s="65"/>
      <c r="K232" s="65"/>
      <c r="L232" s="65"/>
      <c r="M232" s="65"/>
      <c r="N232" s="65"/>
    </row>
    <row r="233" spans="7:14" ht="13.8" thickBot="1" x14ac:dyDescent="0.3"/>
    <row r="234" spans="7:14" x14ac:dyDescent="0.25">
      <c r="G234" s="66" t="s">
        <v>0</v>
      </c>
      <c r="H234" s="68" t="s">
        <v>8</v>
      </c>
      <c r="I234" s="68" t="s">
        <v>9</v>
      </c>
      <c r="J234" s="68" t="s">
        <v>33</v>
      </c>
      <c r="K234" s="68" t="s">
        <v>32</v>
      </c>
      <c r="L234" s="70" t="s">
        <v>12</v>
      </c>
      <c r="M234" s="72" t="s">
        <v>10</v>
      </c>
      <c r="N234" s="74" t="s">
        <v>13</v>
      </c>
    </row>
    <row r="235" spans="7:14" ht="13.8" thickBot="1" x14ac:dyDescent="0.3">
      <c r="G235" s="67"/>
      <c r="H235" s="69"/>
      <c r="I235" s="69"/>
      <c r="J235" s="69"/>
      <c r="K235" s="69"/>
      <c r="L235" s="71"/>
      <c r="M235" s="73"/>
      <c r="N235" s="75"/>
    </row>
    <row r="236" spans="7:14" x14ac:dyDescent="0.25">
      <c r="G236" s="23">
        <v>82</v>
      </c>
      <c r="H236" s="24" t="s">
        <v>43</v>
      </c>
      <c r="I236" s="24" t="s">
        <v>40</v>
      </c>
      <c r="J236" s="24" t="s">
        <v>34</v>
      </c>
      <c r="K236" s="24">
        <v>2</v>
      </c>
      <c r="L236" s="25">
        <f>L241*1.634</f>
        <v>620.91999999999996</v>
      </c>
      <c r="M236" s="26">
        <v>0.23</v>
      </c>
      <c r="N236" s="27">
        <f>L236+M236*L236</f>
        <v>763.73159999999996</v>
      </c>
    </row>
    <row r="237" spans="7:14" x14ac:dyDescent="0.25">
      <c r="G237" s="28"/>
      <c r="H237" s="37"/>
      <c r="I237" s="37"/>
      <c r="J237" s="37" t="s">
        <v>34</v>
      </c>
      <c r="K237" s="37">
        <v>3</v>
      </c>
      <c r="L237" s="49">
        <f>L241*2.001</f>
        <v>760.38</v>
      </c>
      <c r="M237" s="50">
        <v>0.23</v>
      </c>
      <c r="N237" s="29">
        <f>L237+M237*L237</f>
        <v>935.26739999999995</v>
      </c>
    </row>
    <row r="238" spans="7:14" x14ac:dyDescent="0.25">
      <c r="G238" s="28"/>
      <c r="H238" s="37"/>
      <c r="I238" s="37"/>
      <c r="J238" s="37" t="s">
        <v>35</v>
      </c>
      <c r="K238" s="37">
        <v>1</v>
      </c>
      <c r="L238" s="49" t="s">
        <v>44</v>
      </c>
      <c r="M238" s="50">
        <v>0.23</v>
      </c>
      <c r="N238" s="29" t="s">
        <v>44</v>
      </c>
    </row>
    <row r="239" spans="7:14" x14ac:dyDescent="0.25">
      <c r="G239" s="28"/>
      <c r="H239" s="37"/>
      <c r="I239" s="37"/>
      <c r="J239" s="37" t="s">
        <v>35</v>
      </c>
      <c r="K239" s="37">
        <v>2</v>
      </c>
      <c r="L239" s="49">
        <f>L241*1.354</f>
        <v>514.52</v>
      </c>
      <c r="M239" s="50">
        <v>0.23</v>
      </c>
      <c r="N239" s="29">
        <f>L239+M239*L239</f>
        <v>632.8596</v>
      </c>
    </row>
    <row r="240" spans="7:14" x14ac:dyDescent="0.25">
      <c r="G240" s="28"/>
      <c r="H240" s="37"/>
      <c r="I240" s="37"/>
      <c r="J240" s="37" t="s">
        <v>35</v>
      </c>
      <c r="K240" s="37">
        <v>3</v>
      </c>
      <c r="L240" s="49">
        <f>L241*1.546</f>
        <v>587.48</v>
      </c>
      <c r="M240" s="50">
        <v>0.23</v>
      </c>
      <c r="N240" s="29">
        <f>L240+M240*L240</f>
        <v>722.60040000000004</v>
      </c>
    </row>
    <row r="241" spans="7:14" x14ac:dyDescent="0.25">
      <c r="G241" s="28"/>
      <c r="H241" s="37"/>
      <c r="I241" s="37"/>
      <c r="J241" s="37" t="s">
        <v>36</v>
      </c>
      <c r="K241" s="37">
        <v>1</v>
      </c>
      <c r="L241" s="49">
        <v>380</v>
      </c>
      <c r="M241" s="50">
        <v>0.23</v>
      </c>
      <c r="N241" s="29">
        <f>L241+M241*L241</f>
        <v>467.4</v>
      </c>
    </row>
    <row r="242" spans="7:14" x14ac:dyDescent="0.25">
      <c r="G242" s="28"/>
      <c r="H242" s="37"/>
      <c r="I242" s="37"/>
      <c r="J242" s="37" t="s">
        <v>36</v>
      </c>
      <c r="K242" s="37">
        <v>2</v>
      </c>
      <c r="L242" s="49">
        <f>L241*1.169</f>
        <v>444.22</v>
      </c>
      <c r="M242" s="50">
        <v>0.23</v>
      </c>
      <c r="N242" s="29">
        <f t="shared" ref="N242:N251" si="24">L242+M242*L242</f>
        <v>546.39060000000006</v>
      </c>
    </row>
    <row r="243" spans="7:14" x14ac:dyDescent="0.25">
      <c r="G243" s="28"/>
      <c r="H243" s="37"/>
      <c r="I243" s="37"/>
      <c r="J243" s="37" t="s">
        <v>36</v>
      </c>
      <c r="K243" s="37">
        <v>3</v>
      </c>
      <c r="L243" s="49">
        <f>L241*1.332</f>
        <v>506.16</v>
      </c>
      <c r="M243" s="50">
        <v>0.23</v>
      </c>
      <c r="N243" s="29">
        <f t="shared" si="24"/>
        <v>622.57680000000005</v>
      </c>
    </row>
    <row r="244" spans="7:14" x14ac:dyDescent="0.25">
      <c r="G244" s="28"/>
      <c r="H244" s="37"/>
      <c r="I244" s="37"/>
      <c r="J244" s="37" t="s">
        <v>37</v>
      </c>
      <c r="K244" s="37">
        <v>1</v>
      </c>
      <c r="L244" s="49">
        <f>L241*0.765</f>
        <v>290.7</v>
      </c>
      <c r="M244" s="50">
        <v>0.23</v>
      </c>
      <c r="N244" s="29">
        <f t="shared" si="24"/>
        <v>357.56099999999998</v>
      </c>
    </row>
    <row r="245" spans="7:14" x14ac:dyDescent="0.25">
      <c r="G245" s="28"/>
      <c r="H245" s="37"/>
      <c r="I245" s="37"/>
      <c r="J245" s="37" t="s">
        <v>37</v>
      </c>
      <c r="K245" s="37">
        <v>2</v>
      </c>
      <c r="L245" s="49">
        <f>L241*0.832</f>
        <v>316.15999999999997</v>
      </c>
      <c r="M245" s="50">
        <v>0.23</v>
      </c>
      <c r="N245" s="29">
        <f t="shared" si="24"/>
        <v>388.87679999999995</v>
      </c>
    </row>
    <row r="246" spans="7:14" ht="13.8" thickBot="1" x14ac:dyDescent="0.3">
      <c r="G246" s="30"/>
      <c r="H246" s="31"/>
      <c r="I246" s="31"/>
      <c r="J246" s="31" t="s">
        <v>37</v>
      </c>
      <c r="K246" s="31">
        <v>3</v>
      </c>
      <c r="L246" s="32">
        <f>L241*0.903</f>
        <v>343.14</v>
      </c>
      <c r="M246" s="33">
        <v>0.23</v>
      </c>
      <c r="N246" s="34">
        <f t="shared" si="24"/>
        <v>422.06219999999996</v>
      </c>
    </row>
    <row r="247" spans="7:14" x14ac:dyDescent="0.25">
      <c r="G247" s="23">
        <v>83</v>
      </c>
      <c r="H247" s="24" t="s">
        <v>43</v>
      </c>
      <c r="I247" s="24" t="s">
        <v>29</v>
      </c>
      <c r="J247" s="24" t="s">
        <v>34</v>
      </c>
      <c r="K247" s="24">
        <v>2</v>
      </c>
      <c r="L247" s="25">
        <f>L252*1.755</f>
        <v>666.9</v>
      </c>
      <c r="M247" s="26">
        <v>0.23</v>
      </c>
      <c r="N247" s="27">
        <f t="shared" si="24"/>
        <v>820.28700000000003</v>
      </c>
    </row>
    <row r="248" spans="7:14" x14ac:dyDescent="0.25">
      <c r="G248" s="28"/>
      <c r="H248" s="37"/>
      <c r="I248" s="37"/>
      <c r="J248" s="37" t="s">
        <v>34</v>
      </c>
      <c r="K248" s="37">
        <v>3</v>
      </c>
      <c r="L248" s="49">
        <f>L252*2.166</f>
        <v>823.07999999999993</v>
      </c>
      <c r="M248" s="50">
        <v>0.23</v>
      </c>
      <c r="N248" s="29">
        <f t="shared" si="24"/>
        <v>1012.3883999999999</v>
      </c>
    </row>
    <row r="249" spans="7:14" x14ac:dyDescent="0.25">
      <c r="G249" s="28"/>
      <c r="H249" s="37"/>
      <c r="I249" s="37"/>
      <c r="J249" s="37" t="s">
        <v>35</v>
      </c>
      <c r="K249" s="37">
        <v>1</v>
      </c>
      <c r="L249" s="49" t="s">
        <v>44</v>
      </c>
      <c r="M249" s="50">
        <v>0.23</v>
      </c>
      <c r="N249" s="29" t="s">
        <v>44</v>
      </c>
    </row>
    <row r="250" spans="7:14" x14ac:dyDescent="0.25">
      <c r="G250" s="28"/>
      <c r="H250" s="37"/>
      <c r="I250" s="37"/>
      <c r="J250" s="37" t="s">
        <v>35</v>
      </c>
      <c r="K250" s="37">
        <v>2</v>
      </c>
      <c r="L250" s="49">
        <f>L252*1.422</f>
        <v>540.36</v>
      </c>
      <c r="M250" s="50">
        <v>0.23</v>
      </c>
      <c r="N250" s="29">
        <f t="shared" si="24"/>
        <v>664.64280000000008</v>
      </c>
    </row>
    <row r="251" spans="7:14" x14ac:dyDescent="0.25">
      <c r="G251" s="28"/>
      <c r="H251" s="37"/>
      <c r="I251" s="37"/>
      <c r="J251" s="37" t="s">
        <v>35</v>
      </c>
      <c r="K251" s="37">
        <v>3</v>
      </c>
      <c r="L251" s="49">
        <f>L252*1.639</f>
        <v>622.82000000000005</v>
      </c>
      <c r="M251" s="50">
        <v>0.23</v>
      </c>
      <c r="N251" s="29">
        <f t="shared" si="24"/>
        <v>766.06860000000006</v>
      </c>
    </row>
    <row r="252" spans="7:14" x14ac:dyDescent="0.25">
      <c r="G252" s="28"/>
      <c r="H252" s="37"/>
      <c r="I252" s="37"/>
      <c r="J252" s="37" t="s">
        <v>36</v>
      </c>
      <c r="K252" s="37">
        <v>1</v>
      </c>
      <c r="L252" s="49">
        <v>380</v>
      </c>
      <c r="M252" s="50">
        <v>0.23</v>
      </c>
      <c r="N252" s="29">
        <f>L252+M252*L252</f>
        <v>467.4</v>
      </c>
    </row>
    <row r="253" spans="7:14" x14ac:dyDescent="0.25">
      <c r="G253" s="28"/>
      <c r="H253" s="37"/>
      <c r="I253" s="37"/>
      <c r="J253" s="37" t="s">
        <v>36</v>
      </c>
      <c r="K253" s="37">
        <v>2</v>
      </c>
      <c r="L253" s="49">
        <f>L252*1.183</f>
        <v>449.54</v>
      </c>
      <c r="M253" s="50">
        <v>0.23</v>
      </c>
      <c r="N253" s="29">
        <f t="shared" ref="N253:N262" si="25">L253+M253*L253</f>
        <v>552.93420000000003</v>
      </c>
    </row>
    <row r="254" spans="7:14" x14ac:dyDescent="0.25">
      <c r="G254" s="28"/>
      <c r="H254" s="37"/>
      <c r="I254" s="37"/>
      <c r="J254" s="37" t="s">
        <v>36</v>
      </c>
      <c r="K254" s="37">
        <v>3</v>
      </c>
      <c r="L254" s="49">
        <f>L252*1.289</f>
        <v>489.82</v>
      </c>
      <c r="M254" s="50">
        <v>0.23</v>
      </c>
      <c r="N254" s="29">
        <f t="shared" si="25"/>
        <v>602.47860000000003</v>
      </c>
    </row>
    <row r="255" spans="7:14" x14ac:dyDescent="0.25">
      <c r="G255" s="28"/>
      <c r="H255" s="37"/>
      <c r="I255" s="37"/>
      <c r="J255" s="37" t="s">
        <v>37</v>
      </c>
      <c r="K255" s="37">
        <v>1</v>
      </c>
      <c r="L255" s="49">
        <f>L252*0.711</f>
        <v>270.18</v>
      </c>
      <c r="M255" s="50">
        <v>0.23</v>
      </c>
      <c r="N255" s="29">
        <f t="shared" si="25"/>
        <v>332.32140000000004</v>
      </c>
    </row>
    <row r="256" spans="7:14" x14ac:dyDescent="0.25">
      <c r="G256" s="28"/>
      <c r="H256" s="37"/>
      <c r="I256" s="37"/>
      <c r="J256" s="37" t="s">
        <v>37</v>
      </c>
      <c r="K256" s="37">
        <v>2</v>
      </c>
      <c r="L256" s="49">
        <f>L252*0.762</f>
        <v>289.56</v>
      </c>
      <c r="M256" s="50">
        <v>0.23</v>
      </c>
      <c r="N256" s="29">
        <f t="shared" si="25"/>
        <v>356.15879999999999</v>
      </c>
    </row>
    <row r="257" spans="7:20" ht="13.8" thickBot="1" x14ac:dyDescent="0.3">
      <c r="G257" s="30"/>
      <c r="H257" s="31"/>
      <c r="I257" s="31"/>
      <c r="J257" s="31" t="s">
        <v>37</v>
      </c>
      <c r="K257" s="31">
        <v>3</v>
      </c>
      <c r="L257" s="32">
        <f>L252*0.804</f>
        <v>305.52000000000004</v>
      </c>
      <c r="M257" s="33">
        <v>0.23</v>
      </c>
      <c r="N257" s="34">
        <f t="shared" si="25"/>
        <v>375.78960000000006</v>
      </c>
    </row>
    <row r="258" spans="7:20" x14ac:dyDescent="0.25">
      <c r="G258" s="23">
        <v>84</v>
      </c>
      <c r="H258" s="24" t="s">
        <v>43</v>
      </c>
      <c r="I258" s="24" t="s">
        <v>27</v>
      </c>
      <c r="J258" s="24" t="s">
        <v>34</v>
      </c>
      <c r="K258" s="24">
        <v>2</v>
      </c>
      <c r="L258" s="25">
        <f>L263*1.697</f>
        <v>644.86</v>
      </c>
      <c r="M258" s="26">
        <v>0.23</v>
      </c>
      <c r="N258" s="27">
        <f t="shared" si="25"/>
        <v>793.17780000000005</v>
      </c>
    </row>
    <row r="259" spans="7:20" x14ac:dyDescent="0.25">
      <c r="G259" s="28"/>
      <c r="H259" s="37"/>
      <c r="I259" s="37"/>
      <c r="J259" s="37" t="s">
        <v>34</v>
      </c>
      <c r="K259" s="37">
        <v>3</v>
      </c>
      <c r="L259" s="49">
        <f>L263*2.011</f>
        <v>764.18000000000006</v>
      </c>
      <c r="M259" s="50">
        <v>0.23</v>
      </c>
      <c r="N259" s="29">
        <f t="shared" si="25"/>
        <v>939.94140000000004</v>
      </c>
    </row>
    <row r="260" spans="7:20" x14ac:dyDescent="0.25">
      <c r="G260" s="28"/>
      <c r="H260" s="37"/>
      <c r="I260" s="37"/>
      <c r="J260" s="37" t="s">
        <v>35</v>
      </c>
      <c r="K260" s="37">
        <v>1</v>
      </c>
      <c r="L260" s="49" t="s">
        <v>44</v>
      </c>
      <c r="M260" s="50">
        <v>0.23</v>
      </c>
      <c r="N260" s="29" t="s">
        <v>44</v>
      </c>
    </row>
    <row r="261" spans="7:20" x14ac:dyDescent="0.25">
      <c r="G261" s="28"/>
      <c r="H261" s="37"/>
      <c r="I261" s="37"/>
      <c r="J261" s="37" t="s">
        <v>35</v>
      </c>
      <c r="K261" s="37">
        <v>2</v>
      </c>
      <c r="L261" s="49">
        <f>L263*1.399</f>
        <v>531.62</v>
      </c>
      <c r="M261" s="50">
        <v>0.23</v>
      </c>
      <c r="N261" s="29">
        <f t="shared" si="25"/>
        <v>653.89260000000002</v>
      </c>
    </row>
    <row r="262" spans="7:20" x14ac:dyDescent="0.25">
      <c r="G262" s="28"/>
      <c r="H262" s="37"/>
      <c r="I262" s="37"/>
      <c r="J262" s="37" t="s">
        <v>35</v>
      </c>
      <c r="K262" s="37">
        <v>3</v>
      </c>
      <c r="L262" s="49">
        <f>L263*1.632</f>
        <v>620.16</v>
      </c>
      <c r="M262" s="50">
        <v>0.23</v>
      </c>
      <c r="N262" s="29">
        <f t="shared" si="25"/>
        <v>762.79679999999996</v>
      </c>
    </row>
    <row r="263" spans="7:20" x14ac:dyDescent="0.25">
      <c r="G263" s="28"/>
      <c r="H263" s="37"/>
      <c r="I263" s="37"/>
      <c r="J263" s="37" t="s">
        <v>36</v>
      </c>
      <c r="K263" s="37">
        <v>1</v>
      </c>
      <c r="L263" s="49">
        <v>380</v>
      </c>
      <c r="M263" s="50">
        <v>0.23</v>
      </c>
      <c r="N263" s="29">
        <f>L263+M263*L263</f>
        <v>467.4</v>
      </c>
    </row>
    <row r="264" spans="7:20" x14ac:dyDescent="0.25">
      <c r="G264" s="28"/>
      <c r="H264" s="37"/>
      <c r="I264" s="37"/>
      <c r="J264" s="37" t="s">
        <v>36</v>
      </c>
      <c r="K264" s="37">
        <v>2</v>
      </c>
      <c r="L264" s="49">
        <f>L263*1.165</f>
        <v>442.7</v>
      </c>
      <c r="M264" s="50">
        <v>0.23</v>
      </c>
      <c r="N264" s="29">
        <f t="shared" ref="N264:N273" si="26">L264+M264*L264</f>
        <v>544.52099999999996</v>
      </c>
    </row>
    <row r="265" spans="7:20" x14ac:dyDescent="0.25">
      <c r="G265" s="28"/>
      <c r="H265" s="37"/>
      <c r="I265" s="37"/>
      <c r="J265" s="37" t="s">
        <v>36</v>
      </c>
      <c r="K265" s="37">
        <v>3</v>
      </c>
      <c r="L265" s="49">
        <f>L263*1.338</f>
        <v>508.44000000000005</v>
      </c>
      <c r="M265" s="50">
        <v>0.23</v>
      </c>
      <c r="N265" s="29">
        <f t="shared" si="26"/>
        <v>625.38120000000004</v>
      </c>
    </row>
    <row r="266" spans="7:20" x14ac:dyDescent="0.25">
      <c r="G266" s="28"/>
      <c r="H266" s="37"/>
      <c r="I266" s="37"/>
      <c r="J266" s="37" t="s">
        <v>37</v>
      </c>
      <c r="K266" s="37">
        <v>1</v>
      </c>
      <c r="L266" s="49">
        <f>L263*0.719</f>
        <v>273.21999999999997</v>
      </c>
      <c r="M266" s="50">
        <v>0.23</v>
      </c>
      <c r="N266" s="29">
        <f t="shared" si="26"/>
        <v>336.06059999999997</v>
      </c>
    </row>
    <row r="267" spans="7:20" x14ac:dyDescent="0.25">
      <c r="G267" s="28"/>
      <c r="H267" s="37"/>
      <c r="I267" s="37"/>
      <c r="J267" s="37" t="s">
        <v>37</v>
      </c>
      <c r="K267" s="37">
        <v>2</v>
      </c>
      <c r="L267" s="49">
        <f>L263*0.787</f>
        <v>299.06</v>
      </c>
      <c r="M267" s="50">
        <v>0.23</v>
      </c>
      <c r="N267" s="29">
        <f t="shared" si="26"/>
        <v>367.84379999999999</v>
      </c>
    </row>
    <row r="268" spans="7:20" ht="13.8" thickBot="1" x14ac:dyDescent="0.3">
      <c r="G268" s="30"/>
      <c r="H268" s="31"/>
      <c r="I268" s="31"/>
      <c r="J268" s="31" t="s">
        <v>37</v>
      </c>
      <c r="K268" s="31">
        <v>3</v>
      </c>
      <c r="L268" s="32">
        <f>L263*0.877</f>
        <v>333.26</v>
      </c>
      <c r="M268" s="33">
        <v>0.23</v>
      </c>
      <c r="N268" s="34">
        <f t="shared" si="26"/>
        <v>409.90980000000002</v>
      </c>
      <c r="Q268" s="51"/>
      <c r="R268" s="51"/>
      <c r="S268" s="51"/>
      <c r="T268" s="51"/>
    </row>
    <row r="269" spans="7:20" x14ac:dyDescent="0.25">
      <c r="G269" s="23">
        <v>85</v>
      </c>
      <c r="H269" s="24" t="s">
        <v>43</v>
      </c>
      <c r="I269" s="35" t="s">
        <v>41</v>
      </c>
      <c r="J269" s="24" t="s">
        <v>34</v>
      </c>
      <c r="K269" s="24">
        <v>2</v>
      </c>
      <c r="L269" s="25">
        <f>L274*1.555</f>
        <v>590.9</v>
      </c>
      <c r="M269" s="26">
        <v>0.23</v>
      </c>
      <c r="N269" s="27">
        <f t="shared" si="26"/>
        <v>726.80700000000002</v>
      </c>
      <c r="Q269" s="51"/>
      <c r="R269" s="51"/>
      <c r="S269" s="51"/>
      <c r="T269" s="51"/>
    </row>
    <row r="270" spans="7:20" x14ac:dyDescent="0.25">
      <c r="G270" s="28"/>
      <c r="H270" s="37"/>
      <c r="I270" s="37"/>
      <c r="J270" s="37" t="s">
        <v>34</v>
      </c>
      <c r="K270" s="37">
        <v>3</v>
      </c>
      <c r="L270" s="49">
        <f>L274*1.881</f>
        <v>714.78</v>
      </c>
      <c r="M270" s="50">
        <v>0.23</v>
      </c>
      <c r="N270" s="29">
        <f t="shared" si="26"/>
        <v>879.17939999999999</v>
      </c>
      <c r="Q270" s="51"/>
      <c r="R270" s="51"/>
      <c r="S270" s="51"/>
      <c r="T270" s="51"/>
    </row>
    <row r="271" spans="7:20" x14ac:dyDescent="0.25">
      <c r="G271" s="28"/>
      <c r="H271" s="37"/>
      <c r="I271" s="37"/>
      <c r="J271" s="37" t="s">
        <v>35</v>
      </c>
      <c r="K271" s="37">
        <v>1</v>
      </c>
      <c r="L271" s="49" t="s">
        <v>44</v>
      </c>
      <c r="M271" s="50">
        <v>0.23</v>
      </c>
      <c r="N271" s="29" t="s">
        <v>44</v>
      </c>
      <c r="Q271" s="51"/>
      <c r="R271" s="51"/>
      <c r="S271" s="51"/>
      <c r="T271" s="51"/>
    </row>
    <row r="272" spans="7:20" x14ac:dyDescent="0.25">
      <c r="G272" s="28"/>
      <c r="H272" s="37"/>
      <c r="I272" s="37"/>
      <c r="J272" s="37" t="s">
        <v>35</v>
      </c>
      <c r="K272" s="37">
        <v>2</v>
      </c>
      <c r="L272" s="49">
        <f>L274*1.352</f>
        <v>513.76</v>
      </c>
      <c r="M272" s="50">
        <v>0.23</v>
      </c>
      <c r="N272" s="29">
        <f t="shared" si="26"/>
        <v>631.9248</v>
      </c>
      <c r="Q272" s="51"/>
      <c r="R272" s="51"/>
      <c r="S272" s="51"/>
      <c r="T272" s="51"/>
    </row>
    <row r="273" spans="7:20" x14ac:dyDescent="0.25">
      <c r="G273" s="28"/>
      <c r="H273" s="37"/>
      <c r="I273" s="37"/>
      <c r="J273" s="37" t="s">
        <v>35</v>
      </c>
      <c r="K273" s="37">
        <v>3</v>
      </c>
      <c r="L273" s="49">
        <f>L274*1.479</f>
        <v>562.02</v>
      </c>
      <c r="M273" s="50">
        <v>0.23</v>
      </c>
      <c r="N273" s="29">
        <f t="shared" si="26"/>
        <v>691.28459999999995</v>
      </c>
      <c r="Q273" s="51"/>
      <c r="R273" s="51"/>
      <c r="S273" s="51"/>
      <c r="T273" s="51"/>
    </row>
    <row r="274" spans="7:20" x14ac:dyDescent="0.25">
      <c r="G274" s="28"/>
      <c r="H274" s="37"/>
      <c r="I274" s="37"/>
      <c r="J274" s="37" t="s">
        <v>36</v>
      </c>
      <c r="K274" s="37">
        <v>1</v>
      </c>
      <c r="L274" s="49">
        <v>380</v>
      </c>
      <c r="M274" s="50">
        <v>0.23</v>
      </c>
      <c r="N274" s="29">
        <f t="shared" ref="N274:N279" si="27">L274+M274*L274</f>
        <v>467.4</v>
      </c>
      <c r="Q274" s="51"/>
      <c r="R274" s="51"/>
      <c r="S274" s="51"/>
      <c r="T274" s="51"/>
    </row>
    <row r="275" spans="7:20" x14ac:dyDescent="0.25">
      <c r="G275" s="28"/>
      <c r="H275" s="37"/>
      <c r="I275" s="37"/>
      <c r="J275" s="37" t="s">
        <v>36</v>
      </c>
      <c r="K275" s="37">
        <v>2</v>
      </c>
      <c r="L275" s="49">
        <f>L274*1.164</f>
        <v>442.32</v>
      </c>
      <c r="M275" s="50">
        <v>0.23</v>
      </c>
      <c r="N275" s="29">
        <f t="shared" si="27"/>
        <v>544.05359999999996</v>
      </c>
      <c r="Q275" s="51"/>
      <c r="R275" s="51"/>
      <c r="S275" s="51"/>
      <c r="T275" s="51"/>
    </row>
    <row r="276" spans="7:20" x14ac:dyDescent="0.25">
      <c r="G276" s="28"/>
      <c r="H276" s="37"/>
      <c r="I276" s="37"/>
      <c r="J276" s="37" t="s">
        <v>36</v>
      </c>
      <c r="K276" s="37">
        <v>3</v>
      </c>
      <c r="L276" s="49">
        <f>L274*1.312</f>
        <v>498.56</v>
      </c>
      <c r="M276" s="50">
        <v>0.23</v>
      </c>
      <c r="N276" s="29">
        <f t="shared" si="27"/>
        <v>613.22879999999998</v>
      </c>
      <c r="Q276" s="51"/>
      <c r="R276" s="51"/>
      <c r="S276" s="51"/>
      <c r="T276" s="51"/>
    </row>
    <row r="277" spans="7:20" x14ac:dyDescent="0.25">
      <c r="G277" s="28"/>
      <c r="H277" s="37"/>
      <c r="I277" s="37"/>
      <c r="J277" s="37" t="s">
        <v>37</v>
      </c>
      <c r="K277" s="37">
        <v>1</v>
      </c>
      <c r="L277" s="49">
        <f>L274*0.781</f>
        <v>296.78000000000003</v>
      </c>
      <c r="M277" s="50">
        <v>0.23</v>
      </c>
      <c r="N277" s="29">
        <f t="shared" si="27"/>
        <v>365.03940000000006</v>
      </c>
      <c r="Q277" s="51"/>
      <c r="R277" s="51"/>
      <c r="S277" s="51"/>
      <c r="T277" s="51"/>
    </row>
    <row r="278" spans="7:20" x14ac:dyDescent="0.25">
      <c r="G278" s="28"/>
      <c r="H278" s="37"/>
      <c r="I278" s="37"/>
      <c r="J278" s="37" t="s">
        <v>37</v>
      </c>
      <c r="K278" s="37">
        <v>2</v>
      </c>
      <c r="L278" s="49">
        <f>L274*0.864</f>
        <v>328.32</v>
      </c>
      <c r="M278" s="50">
        <v>0.23</v>
      </c>
      <c r="N278" s="29">
        <f t="shared" si="27"/>
        <v>403.83359999999999</v>
      </c>
      <c r="Q278" s="51"/>
      <c r="R278" s="51"/>
      <c r="S278" s="51"/>
      <c r="T278" s="51"/>
    </row>
    <row r="279" spans="7:20" ht="13.8" thickBot="1" x14ac:dyDescent="0.3">
      <c r="G279" s="28"/>
      <c r="H279" s="37"/>
      <c r="I279" s="37"/>
      <c r="J279" s="37" t="s">
        <v>37</v>
      </c>
      <c r="K279" s="37">
        <v>3</v>
      </c>
      <c r="L279" s="49">
        <f>L274*0.998</f>
        <v>379.24</v>
      </c>
      <c r="M279" s="50">
        <v>0.23</v>
      </c>
      <c r="N279" s="29">
        <f t="shared" si="27"/>
        <v>466.46519999999998</v>
      </c>
      <c r="Q279" s="51"/>
      <c r="R279" s="51"/>
      <c r="S279" s="51"/>
      <c r="T279" s="51"/>
    </row>
    <row r="280" spans="7:20" ht="27" thickBot="1" x14ac:dyDescent="0.3">
      <c r="G280" s="44">
        <v>86</v>
      </c>
      <c r="H280" s="45" t="s">
        <v>48</v>
      </c>
      <c r="I280" s="98" t="s">
        <v>11</v>
      </c>
      <c r="J280" s="99"/>
      <c r="K280" s="100"/>
      <c r="L280" s="46" t="s">
        <v>65</v>
      </c>
      <c r="M280" s="47">
        <v>0.23</v>
      </c>
      <c r="N280" s="48">
        <v>3.69</v>
      </c>
      <c r="Q280" s="51"/>
      <c r="R280" s="51"/>
      <c r="S280" s="51"/>
      <c r="T280" s="51"/>
    </row>
    <row r="282" spans="7:20" ht="25.5" customHeight="1" x14ac:dyDescent="0.25">
      <c r="H282" s="4" t="s">
        <v>45</v>
      </c>
      <c r="L282" s="52" t="s">
        <v>4</v>
      </c>
      <c r="M282" s="52"/>
    </row>
    <row r="284" spans="7:20" ht="24.75" customHeight="1" x14ac:dyDescent="0.25">
      <c r="H284" s="4" t="s">
        <v>58</v>
      </c>
      <c r="L284" s="52" t="s">
        <v>59</v>
      </c>
      <c r="M284" s="52"/>
    </row>
    <row r="285" spans="7:20" ht="24.75" customHeight="1" x14ac:dyDescent="0.25">
      <c r="L285" s="52" t="s">
        <v>60</v>
      </c>
      <c r="M285" s="52"/>
    </row>
  </sheetData>
  <mergeCells count="117">
    <mergeCell ref="I280:K280"/>
    <mergeCell ref="C25:C27"/>
    <mergeCell ref="D25:D27"/>
    <mergeCell ref="E25:E27"/>
    <mergeCell ref="F25:F27"/>
    <mergeCell ref="B25:B27"/>
    <mergeCell ref="F83:F84"/>
    <mergeCell ref="I120:I121"/>
    <mergeCell ref="J120:J121"/>
    <mergeCell ref="K120:K121"/>
    <mergeCell ref="A25:A27"/>
    <mergeCell ref="C23:C24"/>
    <mergeCell ref="D23:D24"/>
    <mergeCell ref="E23:E24"/>
    <mergeCell ref="F23:F24"/>
    <mergeCell ref="B23:B24"/>
    <mergeCell ref="A23:A24"/>
    <mergeCell ref="C21:C22"/>
    <mergeCell ref="B21:B22"/>
    <mergeCell ref="A21:A22"/>
    <mergeCell ref="D21:D22"/>
    <mergeCell ref="E21:E22"/>
    <mergeCell ref="F21:F22"/>
    <mergeCell ref="C16:C18"/>
    <mergeCell ref="B16:B18"/>
    <mergeCell ref="A16:A18"/>
    <mergeCell ref="D16:D18"/>
    <mergeCell ref="E16:E18"/>
    <mergeCell ref="F16:F18"/>
    <mergeCell ref="F12:F13"/>
    <mergeCell ref="A12:A13"/>
    <mergeCell ref="C14:C15"/>
    <mergeCell ref="B14:B15"/>
    <mergeCell ref="A14:A15"/>
    <mergeCell ref="D14:D15"/>
    <mergeCell ref="E14:E15"/>
    <mergeCell ref="F14:F15"/>
    <mergeCell ref="A89:A90"/>
    <mergeCell ref="B89:B90"/>
    <mergeCell ref="C89:C90"/>
    <mergeCell ref="D89:D90"/>
    <mergeCell ref="E89:E90"/>
    <mergeCell ref="F89:F90"/>
    <mergeCell ref="A83:A84"/>
    <mergeCell ref="B83:B84"/>
    <mergeCell ref="C83:C84"/>
    <mergeCell ref="E31:E32"/>
    <mergeCell ref="A57:F61"/>
    <mergeCell ref="A1:F5"/>
    <mergeCell ref="A7:A8"/>
    <mergeCell ref="B7:B8"/>
    <mergeCell ref="C7:C8"/>
    <mergeCell ref="D7:D8"/>
    <mergeCell ref="A31:A32"/>
    <mergeCell ref="C12:C13"/>
    <mergeCell ref="B12:B13"/>
    <mergeCell ref="N120:N121"/>
    <mergeCell ref="B31:B32"/>
    <mergeCell ref="C31:C32"/>
    <mergeCell ref="N63:N64"/>
    <mergeCell ref="G114:N118"/>
    <mergeCell ref="G120:G121"/>
    <mergeCell ref="H120:H121"/>
    <mergeCell ref="L7:L8"/>
    <mergeCell ref="M7:M8"/>
    <mergeCell ref="E7:E8"/>
    <mergeCell ref="F7:F8"/>
    <mergeCell ref="K7:K8"/>
    <mergeCell ref="D83:D84"/>
    <mergeCell ref="E83:E84"/>
    <mergeCell ref="M63:M64"/>
    <mergeCell ref="D12:D13"/>
    <mergeCell ref="E12:E13"/>
    <mergeCell ref="L120:L121"/>
    <mergeCell ref="M120:M121"/>
    <mergeCell ref="G63:G64"/>
    <mergeCell ref="H63:H64"/>
    <mergeCell ref="I63:I64"/>
    <mergeCell ref="J63:J64"/>
    <mergeCell ref="K63:K64"/>
    <mergeCell ref="L63:L64"/>
    <mergeCell ref="N177:N178"/>
    <mergeCell ref="D31:D32"/>
    <mergeCell ref="G7:G8"/>
    <mergeCell ref="H7:H8"/>
    <mergeCell ref="G1:N5"/>
    <mergeCell ref="J7:J8"/>
    <mergeCell ref="F31:F32"/>
    <mergeCell ref="N7:N8"/>
    <mergeCell ref="I7:I8"/>
    <mergeCell ref="G57:N61"/>
    <mergeCell ref="M234:M235"/>
    <mergeCell ref="N234:N235"/>
    <mergeCell ref="G171:N175"/>
    <mergeCell ref="G177:G178"/>
    <mergeCell ref="H177:H178"/>
    <mergeCell ref="I177:I178"/>
    <mergeCell ref="J177:J178"/>
    <mergeCell ref="K177:K178"/>
    <mergeCell ref="L177:L178"/>
    <mergeCell ref="M177:M178"/>
    <mergeCell ref="G234:G235"/>
    <mergeCell ref="H234:H235"/>
    <mergeCell ref="I234:I235"/>
    <mergeCell ref="J234:J235"/>
    <mergeCell ref="K234:K235"/>
    <mergeCell ref="L234:L235"/>
    <mergeCell ref="L284:M284"/>
    <mergeCell ref="L285:M285"/>
    <mergeCell ref="E62:E64"/>
    <mergeCell ref="F62:F64"/>
    <mergeCell ref="A62:A64"/>
    <mergeCell ref="B62:B64"/>
    <mergeCell ref="C62:C64"/>
    <mergeCell ref="D62:D64"/>
    <mergeCell ref="L282:M282"/>
    <mergeCell ref="G228:N2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22.6.10.2</dc:creator>
  <cp:lastModifiedBy>Sylwester Lisek Nadleśnictwo Poddębice</cp:lastModifiedBy>
  <cp:lastPrinted>2024-01-09T07:47:06Z</cp:lastPrinted>
  <dcterms:created xsi:type="dcterms:W3CDTF">2008-01-23T12:50:57Z</dcterms:created>
  <dcterms:modified xsi:type="dcterms:W3CDTF">2024-01-09T13:14:50Z</dcterms:modified>
</cp:coreProperties>
</file>